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U:\5. New version (Upload) Monetary and Financial Statistics_for upload on Web_excel file\"/>
    </mc:Choice>
  </mc:AlternateContent>
  <xr:revisionPtr revIDLastSave="0" documentId="13_ncr:1_{504141D6-0FC4-456E-B9BA-0AC2563D83C4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Curr. # US$" sheetId="11" r:id="rId1"/>
  </sheets>
  <definedNames>
    <definedName name="_xlnm.Print_Area" localSheetId="0">'Curr. # US$'!$A$1:$KS$29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36" i="11" l="1"/>
  <c r="HJ22" i="11"/>
  <c r="HI22" i="11"/>
  <c r="HH22" i="11"/>
  <c r="HG22" i="11"/>
  <c r="HF22" i="11"/>
  <c r="HE22" i="11"/>
  <c r="HD22" i="11"/>
  <c r="HC22" i="11"/>
  <c r="HB22" i="11"/>
  <c r="HA22" i="11"/>
  <c r="GZ22" i="11"/>
  <c r="GY22" i="11"/>
  <c r="GX22" i="11"/>
  <c r="GW22" i="11"/>
  <c r="GV22" i="11"/>
  <c r="GU22" i="11"/>
  <c r="GT22" i="11"/>
  <c r="GS22" i="11"/>
  <c r="GR22" i="11"/>
  <c r="GQ22" i="11"/>
  <c r="GP22" i="11"/>
  <c r="GO22" i="11"/>
  <c r="GN22" i="11"/>
  <c r="GM22" i="11"/>
  <c r="GL22" i="11"/>
  <c r="GK22" i="11"/>
  <c r="GJ22" i="11"/>
  <c r="GI22" i="11"/>
  <c r="GH22" i="11"/>
  <c r="GG22" i="11"/>
  <c r="GF22" i="11"/>
  <c r="GE22" i="11"/>
  <c r="GD22" i="11"/>
  <c r="GC22" i="11"/>
  <c r="GB22" i="11"/>
  <c r="GA22" i="11"/>
  <c r="FZ22" i="11"/>
  <c r="FY22" i="11"/>
  <c r="FX22" i="11"/>
  <c r="FW22" i="11"/>
  <c r="FV22" i="11"/>
  <c r="FU22" i="11"/>
  <c r="FT22" i="11"/>
  <c r="FS22" i="11"/>
  <c r="FR22" i="11"/>
  <c r="FQ22" i="11"/>
  <c r="FP22" i="11"/>
  <c r="FO22" i="11"/>
  <c r="FN22" i="11"/>
  <c r="FM22" i="11"/>
  <c r="FL22" i="11"/>
  <c r="FK22" i="11"/>
  <c r="FJ22" i="11"/>
  <c r="FI22" i="11"/>
  <c r="FH22" i="11"/>
  <c r="FG22" i="11"/>
  <c r="FF22" i="11"/>
  <c r="FE22" i="11"/>
  <c r="FD22" i="11"/>
  <c r="FC22" i="11"/>
  <c r="FB22" i="11"/>
  <c r="FA22" i="11"/>
  <c r="EZ22" i="11"/>
  <c r="EY22" i="11"/>
  <c r="EX22" i="11"/>
  <c r="EW22" i="11"/>
  <c r="EV22" i="11"/>
  <c r="EU22" i="11"/>
  <c r="ET22" i="11"/>
  <c r="ES22" i="11"/>
  <c r="ER22" i="11"/>
  <c r="EQ22" i="11"/>
  <c r="EP22" i="11"/>
  <c r="EO22" i="11"/>
  <c r="EN22" i="11"/>
  <c r="EM22" i="11"/>
  <c r="EL22" i="11"/>
  <c r="EK22" i="11"/>
  <c r="EJ22" i="11"/>
  <c r="EI22" i="11"/>
  <c r="EH22" i="11"/>
  <c r="EG22" i="11"/>
  <c r="EF22" i="11"/>
  <c r="EE22" i="11"/>
  <c r="ED22" i="11"/>
  <c r="EC22" i="11"/>
  <c r="EB22" i="11"/>
  <c r="EA22" i="11"/>
  <c r="DZ22" i="11"/>
  <c r="DY22" i="11"/>
  <c r="DX22" i="11"/>
  <c r="DW22" i="11"/>
  <c r="DV22" i="11"/>
  <c r="DU22" i="11"/>
  <c r="DT22" i="11"/>
  <c r="DS22" i="11"/>
  <c r="DR22" i="11"/>
  <c r="DQ22" i="11"/>
  <c r="DP22" i="11"/>
  <c r="DO22" i="11"/>
  <c r="DN22" i="11"/>
  <c r="DM22" i="11"/>
  <c r="DL22" i="11"/>
  <c r="DK22" i="11"/>
  <c r="DJ22" i="11"/>
  <c r="DI22" i="11"/>
  <c r="DH22" i="11"/>
  <c r="DG22" i="11"/>
  <c r="DF22" i="11"/>
  <c r="DE22" i="11"/>
  <c r="DD22" i="11"/>
  <c r="DC22" i="11"/>
  <c r="DB22" i="11"/>
  <c r="DA22" i="11"/>
  <c r="CZ22" i="11"/>
  <c r="CY22" i="11"/>
  <c r="CX22" i="11"/>
  <c r="CW22" i="11"/>
  <c r="CV22" i="11"/>
  <c r="CU22" i="11"/>
  <c r="CT22" i="11"/>
  <c r="CS22" i="11"/>
  <c r="CR22" i="11"/>
  <c r="CQ22" i="11"/>
  <c r="CP22" i="11"/>
  <c r="CN22" i="11"/>
  <c r="CM22" i="11"/>
  <c r="CL22" i="11"/>
  <c r="CK22" i="11"/>
  <c r="CJ22" i="11"/>
  <c r="CI22" i="11"/>
  <c r="CH22" i="11"/>
  <c r="CG22" i="11"/>
  <c r="CF22" i="11"/>
  <c r="CE22" i="11"/>
  <c r="CD22" i="11"/>
  <c r="CC22" i="11"/>
  <c r="CB22" i="11"/>
  <c r="CA22" i="11"/>
  <c r="BY22" i="11"/>
  <c r="BX22" i="11"/>
  <c r="BW22" i="11"/>
  <c r="BV22" i="11"/>
  <c r="BU22" i="11"/>
  <c r="BT22" i="11"/>
  <c r="BS22" i="11"/>
  <c r="BR22" i="11"/>
  <c r="BQ22" i="11"/>
  <c r="BP22" i="11"/>
  <c r="BO22" i="11"/>
  <c r="BN22" i="11"/>
  <c r="BM22" i="11"/>
  <c r="BL22" i="11"/>
  <c r="BK22" i="11"/>
  <c r="BJ22" i="11"/>
  <c r="BI22" i="11"/>
  <c r="BH22" i="11"/>
  <c r="BG22" i="11"/>
  <c r="BF22" i="11"/>
  <c r="BE22" i="11"/>
  <c r="BD22" i="11"/>
  <c r="BC22" i="11"/>
  <c r="BB22" i="11"/>
  <c r="BA22" i="11"/>
  <c r="AZ22" i="11"/>
  <c r="AY22" i="11"/>
  <c r="AX22" i="11"/>
  <c r="AW22" i="11"/>
  <c r="AV22" i="11"/>
  <c r="AU22" i="11"/>
  <c r="AT22" i="11"/>
  <c r="AS22" i="11"/>
  <c r="AR22" i="11"/>
  <c r="AQ22" i="11"/>
  <c r="AP22" i="11"/>
  <c r="AO22" i="11"/>
  <c r="AN22" i="11"/>
  <c r="AM22" i="11"/>
  <c r="AL22" i="11"/>
  <c r="AK22" i="11"/>
  <c r="AJ22" i="11"/>
  <c r="AI22" i="11"/>
  <c r="AH22" i="11"/>
  <c r="AG22" i="11"/>
  <c r="AF22" i="11"/>
  <c r="AE22" i="11"/>
  <c r="AD22" i="11"/>
  <c r="AB22" i="11"/>
  <c r="AA22" i="11"/>
  <c r="Z22" i="11"/>
  <c r="Y22" i="11"/>
  <c r="X22" i="11"/>
  <c r="W22" i="11"/>
  <c r="V22" i="11"/>
  <c r="U22" i="11"/>
  <c r="T22" i="11"/>
  <c r="S22" i="11"/>
  <c r="R22" i="11"/>
  <c r="Q22" i="11"/>
  <c r="P22" i="11"/>
  <c r="O22" i="11"/>
  <c r="H22" i="11"/>
  <c r="G22" i="11"/>
  <c r="F22" i="11"/>
  <c r="E22" i="11"/>
  <c r="HJ21" i="11"/>
  <c r="HI21" i="11"/>
  <c r="HH21" i="11"/>
  <c r="HG21" i="11"/>
  <c r="HF21" i="11"/>
  <c r="HE21" i="11"/>
  <c r="HD21" i="11"/>
  <c r="HC21" i="11"/>
  <c r="HB21" i="11"/>
  <c r="HA21" i="11"/>
  <c r="GZ21" i="11"/>
  <c r="GY21" i="11"/>
  <c r="GX21" i="11"/>
  <c r="GW21" i="11"/>
  <c r="GV21" i="11"/>
  <c r="GU21" i="11"/>
  <c r="GT21" i="11"/>
  <c r="GS21" i="11"/>
  <c r="GR21" i="11"/>
  <c r="GQ21" i="11"/>
  <c r="GP21" i="11"/>
  <c r="GO21" i="11"/>
  <c r="GN21" i="11"/>
  <c r="GM21" i="11"/>
  <c r="GL21" i="11"/>
  <c r="GK21" i="11"/>
  <c r="GJ21" i="11"/>
  <c r="GI21" i="11"/>
  <c r="GH21" i="11"/>
  <c r="GG21" i="11"/>
  <c r="GF21" i="11"/>
  <c r="GE21" i="11"/>
  <c r="GD21" i="11"/>
  <c r="GC21" i="11"/>
  <c r="GB21" i="11"/>
  <c r="GA21" i="11"/>
  <c r="FZ21" i="11"/>
  <c r="FY21" i="11"/>
  <c r="FX21" i="11"/>
  <c r="FW21" i="11"/>
  <c r="FV21" i="11"/>
  <c r="FU21" i="11"/>
  <c r="FT21" i="11"/>
  <c r="FS21" i="11"/>
  <c r="FR21" i="11"/>
  <c r="FQ21" i="11"/>
  <c r="FP21" i="11"/>
  <c r="FO21" i="11"/>
  <c r="FN21" i="11"/>
  <c r="FM21" i="11"/>
  <c r="FL21" i="11"/>
  <c r="FK21" i="11"/>
  <c r="FJ21" i="11"/>
  <c r="FI21" i="11"/>
  <c r="FH21" i="11"/>
  <c r="FG21" i="11"/>
  <c r="FF21" i="11"/>
  <c r="FE21" i="11"/>
  <c r="FD21" i="11"/>
  <c r="FC21" i="11"/>
  <c r="FB21" i="11"/>
  <c r="FA21" i="11"/>
  <c r="EZ21" i="11"/>
  <c r="EY21" i="11"/>
  <c r="EX21" i="11"/>
  <c r="EW21" i="11"/>
  <c r="EV21" i="11"/>
  <c r="EU21" i="11"/>
  <c r="ET21" i="11"/>
  <c r="ES21" i="11"/>
  <c r="ER21" i="11"/>
  <c r="EQ21" i="11"/>
  <c r="EP21" i="11"/>
  <c r="EO21" i="11"/>
  <c r="EN21" i="11"/>
  <c r="EM21" i="11"/>
  <c r="EL21" i="11"/>
  <c r="EK21" i="11"/>
  <c r="EJ21" i="11"/>
  <c r="EI21" i="11"/>
  <c r="EH21" i="11"/>
  <c r="EG21" i="11"/>
  <c r="EF21" i="11"/>
  <c r="EE21" i="11"/>
  <c r="ED21" i="11"/>
  <c r="EC21" i="11"/>
  <c r="EB21" i="11"/>
  <c r="EA21" i="11"/>
  <c r="DZ21" i="11"/>
  <c r="DY21" i="11"/>
  <c r="DX21" i="11"/>
  <c r="DW21" i="11"/>
  <c r="DV21" i="11"/>
  <c r="DU21" i="11"/>
  <c r="DT21" i="11"/>
  <c r="DS21" i="11"/>
  <c r="DR21" i="11"/>
  <c r="DQ21" i="11"/>
  <c r="DP21" i="11"/>
  <c r="DO21" i="11"/>
  <c r="DN21" i="11"/>
  <c r="DM21" i="11"/>
  <c r="DL21" i="11"/>
  <c r="DK21" i="11"/>
  <c r="DJ21" i="11"/>
  <c r="DI21" i="11"/>
  <c r="DH21" i="11"/>
  <c r="DG21" i="11"/>
  <c r="DF21" i="11"/>
  <c r="DE21" i="11"/>
  <c r="DD21" i="11"/>
  <c r="DC21" i="11"/>
  <c r="DB21" i="11"/>
  <c r="DA21" i="11"/>
  <c r="CZ21" i="11"/>
  <c r="CY21" i="11"/>
  <c r="CX21" i="11"/>
  <c r="CW21" i="11"/>
  <c r="CV21" i="11"/>
  <c r="CU21" i="11"/>
  <c r="CT21" i="11"/>
  <c r="CS21" i="11"/>
  <c r="CR21" i="11"/>
  <c r="CQ21" i="11"/>
  <c r="CP21" i="11"/>
  <c r="CN21" i="11"/>
  <c r="CM21" i="11"/>
  <c r="CL21" i="11"/>
  <c r="CK21" i="11"/>
  <c r="CJ21" i="11"/>
  <c r="CI21" i="11"/>
  <c r="CH21" i="11"/>
  <c r="CG21" i="11"/>
  <c r="CF21" i="11"/>
  <c r="CE21" i="11"/>
  <c r="CD21" i="11"/>
  <c r="CC21" i="11"/>
  <c r="CB21" i="11"/>
  <c r="CA21" i="11"/>
  <c r="BY21" i="11"/>
  <c r="BX21" i="11"/>
  <c r="BW21" i="11"/>
  <c r="BV21" i="11"/>
  <c r="BU21" i="11"/>
  <c r="BT21" i="11"/>
  <c r="BS21" i="11"/>
  <c r="BR21" i="11"/>
  <c r="BQ21" i="11"/>
  <c r="BP21" i="11"/>
  <c r="BO21" i="11"/>
  <c r="BN21" i="11"/>
  <c r="BM21" i="11"/>
  <c r="BL21" i="11"/>
  <c r="BK21" i="11"/>
  <c r="BJ21" i="11"/>
  <c r="BI21" i="11"/>
  <c r="BH21" i="11"/>
  <c r="BG21" i="11"/>
  <c r="BF21" i="11"/>
  <c r="BE21" i="11"/>
  <c r="BD21" i="11"/>
  <c r="BC21" i="11"/>
  <c r="BB21" i="11"/>
  <c r="BA21" i="11"/>
  <c r="AZ21" i="11"/>
  <c r="AY21" i="11"/>
  <c r="AX21" i="11"/>
  <c r="AW21" i="11"/>
  <c r="AV21" i="11"/>
  <c r="AU21" i="11"/>
  <c r="AT21" i="11"/>
  <c r="AS21" i="11"/>
  <c r="AR21" i="11"/>
  <c r="AQ21" i="11"/>
  <c r="AP21" i="11"/>
  <c r="AO21" i="11"/>
  <c r="AN21" i="11"/>
  <c r="AM21" i="11"/>
  <c r="AL21" i="11"/>
  <c r="AK21" i="11"/>
  <c r="AJ21" i="11"/>
  <c r="AI21" i="11"/>
  <c r="AH21" i="11"/>
  <c r="AG21" i="11"/>
  <c r="AF21" i="11"/>
  <c r="AE21" i="11"/>
  <c r="AD21" i="11"/>
  <c r="AA21" i="11"/>
  <c r="Z21" i="11"/>
  <c r="Y21" i="11"/>
  <c r="X21" i="11"/>
  <c r="W21" i="11"/>
  <c r="V21" i="11"/>
  <c r="U21" i="11"/>
  <c r="T21" i="11"/>
  <c r="S21" i="11"/>
  <c r="R21" i="11"/>
  <c r="Q21" i="11"/>
  <c r="P21" i="11"/>
  <c r="O21" i="11"/>
  <c r="H21" i="11"/>
  <c r="G21" i="11"/>
  <c r="F21" i="11"/>
  <c r="E21" i="11"/>
  <c r="HJ6" i="11"/>
  <c r="HI6" i="11"/>
  <c r="HH6" i="11"/>
  <c r="HG6" i="11"/>
  <c r="HF6" i="11"/>
  <c r="HE6" i="11"/>
  <c r="HD6" i="11"/>
  <c r="HC6" i="11"/>
  <c r="HB6" i="11"/>
  <c r="HA6" i="11"/>
  <c r="GZ6" i="11"/>
  <c r="GY6" i="11"/>
  <c r="GX6" i="11"/>
  <c r="GW6" i="11"/>
  <c r="GV6" i="11"/>
  <c r="GU6" i="11"/>
  <c r="GT6" i="11"/>
  <c r="GS6" i="11"/>
  <c r="GR6" i="11"/>
  <c r="GQ6" i="11"/>
  <c r="GP6" i="11"/>
  <c r="GO6" i="11"/>
  <c r="GN6" i="11"/>
  <c r="GM6" i="11"/>
  <c r="GL6" i="11"/>
  <c r="GK6" i="11"/>
  <c r="GJ6" i="11"/>
  <c r="GI6" i="11"/>
  <c r="GH6" i="11"/>
  <c r="GG6" i="11"/>
  <c r="GF6" i="11"/>
  <c r="GE6" i="11"/>
  <c r="GD6" i="11"/>
  <c r="GC6" i="11"/>
  <c r="GB6" i="11"/>
  <c r="GA6" i="11"/>
  <c r="FZ6" i="11"/>
  <c r="FY6" i="11"/>
  <c r="FX6" i="11"/>
  <c r="FW6" i="11"/>
  <c r="FV6" i="11"/>
  <c r="FU6" i="11"/>
  <c r="FT6" i="11"/>
  <c r="FS6" i="11"/>
  <c r="FR6" i="11"/>
  <c r="FQ6" i="11"/>
  <c r="FP6" i="11"/>
  <c r="FO6" i="11"/>
  <c r="FN6" i="11"/>
  <c r="FM6" i="11"/>
  <c r="FL6" i="11"/>
  <c r="FK6" i="11"/>
  <c r="FJ6" i="11"/>
  <c r="FI6" i="11"/>
  <c r="FH6" i="11"/>
  <c r="FG6" i="11"/>
  <c r="FF6" i="11"/>
  <c r="FE6" i="11"/>
  <c r="FD6" i="11"/>
  <c r="FC6" i="11"/>
  <c r="FB6" i="11"/>
  <c r="FA6" i="11"/>
  <c r="EZ6" i="11"/>
  <c r="EY6" i="11"/>
  <c r="EX6" i="11"/>
  <c r="EW6" i="11"/>
  <c r="EV6" i="11"/>
  <c r="EU6" i="11"/>
  <c r="ET6" i="11"/>
  <c r="ES6" i="11"/>
  <c r="ER6" i="11"/>
  <c r="EQ6" i="11"/>
  <c r="EP6" i="11"/>
  <c r="EO6" i="11"/>
  <c r="EN6" i="11"/>
  <c r="EM6" i="11"/>
  <c r="EL6" i="11"/>
  <c r="EK6" i="11"/>
  <c r="EJ6" i="11"/>
  <c r="EI6" i="11"/>
  <c r="EH6" i="11"/>
  <c r="EG6" i="11"/>
  <c r="EF6" i="11"/>
  <c r="EE6" i="11"/>
  <c r="ED6" i="11"/>
  <c r="EC6" i="11"/>
  <c r="EB6" i="11"/>
  <c r="EA6" i="11"/>
  <c r="DZ6" i="11"/>
  <c r="DY6" i="11"/>
  <c r="DX6" i="11"/>
  <c r="DW6" i="11"/>
  <c r="DV6" i="11"/>
  <c r="DU6" i="11"/>
  <c r="DT6" i="11"/>
  <c r="DS6" i="11"/>
  <c r="DR6" i="11"/>
  <c r="DQ6" i="11"/>
  <c r="DP6" i="11"/>
  <c r="DO6" i="11"/>
  <c r="DN6" i="11"/>
  <c r="DM6" i="11"/>
  <c r="DL6" i="11"/>
  <c r="DK6" i="11"/>
  <c r="DJ6" i="11"/>
  <c r="DI6" i="11"/>
  <c r="DH6" i="11"/>
  <c r="DG6" i="11"/>
  <c r="DF6" i="11"/>
  <c r="DE6" i="11"/>
  <c r="DD6" i="11"/>
  <c r="DC6" i="11"/>
  <c r="DB6" i="11"/>
  <c r="DA6" i="11"/>
  <c r="CZ6" i="11"/>
  <c r="CY6" i="11"/>
  <c r="CX6" i="11"/>
  <c r="CW6" i="11"/>
  <c r="CV6" i="11"/>
  <c r="CU6" i="11"/>
  <c r="CT6" i="11"/>
  <c r="CS6" i="11"/>
  <c r="CR6" i="11"/>
  <c r="CQ6" i="11"/>
  <c r="CP6" i="11"/>
  <c r="CN6" i="11"/>
  <c r="CM6" i="11"/>
  <c r="CL6" i="11"/>
  <c r="CK6" i="11"/>
  <c r="CJ6" i="11"/>
  <c r="CI6" i="11"/>
  <c r="CH6" i="11"/>
  <c r="CG6" i="11"/>
  <c r="CF6" i="11"/>
  <c r="CE6" i="11"/>
  <c r="CD6" i="11"/>
  <c r="CC6" i="11"/>
  <c r="CB6" i="11"/>
  <c r="CA6" i="11"/>
  <c r="BY6" i="11"/>
  <c r="BX6" i="11"/>
  <c r="BW6" i="11"/>
  <c r="BV6" i="11"/>
  <c r="BU6" i="11"/>
  <c r="BT6" i="11"/>
  <c r="BS6" i="11"/>
  <c r="BR6" i="11"/>
  <c r="BQ6" i="11"/>
  <c r="BP6" i="11"/>
  <c r="BO6" i="11"/>
  <c r="BN6" i="11"/>
  <c r="BM6" i="11"/>
  <c r="BL6" i="11"/>
  <c r="BK6" i="11"/>
  <c r="BJ6" i="11"/>
  <c r="BI6" i="11"/>
  <c r="BH6" i="11"/>
  <c r="BG6" i="11"/>
  <c r="BF6" i="11"/>
  <c r="BE6" i="11"/>
  <c r="BD6" i="11"/>
  <c r="BC6" i="11"/>
  <c r="BB6" i="11"/>
  <c r="BA6" i="11"/>
  <c r="AZ6" i="11"/>
  <c r="AY6" i="11"/>
  <c r="AX6" i="11"/>
  <c r="AW6" i="11"/>
  <c r="AV6" i="11"/>
  <c r="AU6" i="11"/>
  <c r="AT6" i="11"/>
  <c r="AS6" i="11"/>
  <c r="AR6" i="11"/>
  <c r="AQ6" i="11"/>
  <c r="AP6" i="11"/>
  <c r="AO6" i="11"/>
  <c r="AN6" i="11"/>
  <c r="AM6" i="11"/>
  <c r="AL6" i="11"/>
  <c r="AK6" i="11"/>
  <c r="AJ6" i="11"/>
  <c r="AI6" i="11"/>
  <c r="AH6" i="11"/>
  <c r="AG6" i="11"/>
  <c r="AF6" i="11"/>
  <c r="AE6" i="11"/>
  <c r="AD6" i="11"/>
  <c r="AB6" i="11"/>
  <c r="AA6" i="11"/>
  <c r="Z6" i="11"/>
  <c r="Y6" i="11"/>
  <c r="X6" i="11"/>
  <c r="W6" i="11"/>
  <c r="V6" i="11"/>
  <c r="U6" i="11"/>
  <c r="T6" i="11"/>
  <c r="S6" i="11"/>
  <c r="R6" i="11"/>
  <c r="Q6" i="11"/>
  <c r="P6" i="11"/>
  <c r="O6" i="11"/>
  <c r="H6" i="11"/>
  <c r="G6" i="11"/>
  <c r="F6" i="11"/>
  <c r="E6" i="11"/>
</calcChain>
</file>

<file path=xl/sharedStrings.xml><?xml version="1.0" encoding="utf-8"?>
<sst xmlns="http://schemas.openxmlformats.org/spreadsheetml/2006/main" count="51" uniqueCount="49">
  <si>
    <t>Currencies</t>
  </si>
  <si>
    <t>ASIA</t>
  </si>
  <si>
    <t>Australian Dollar</t>
  </si>
  <si>
    <t>Hong Kong Dollar</t>
  </si>
  <si>
    <t>Korea Won</t>
  </si>
  <si>
    <t>Taiwan Dollar</t>
  </si>
  <si>
    <t>Philippine Peso</t>
  </si>
  <si>
    <t>Singapore Dollar</t>
  </si>
  <si>
    <t>Thai Bath</t>
  </si>
  <si>
    <t>Vietnamese Dong</t>
  </si>
  <si>
    <t>EUROPE</t>
  </si>
  <si>
    <t>Great Britain Pounds</t>
  </si>
  <si>
    <t>Japanese Yen</t>
  </si>
  <si>
    <t>Cambodia Riels</t>
  </si>
  <si>
    <t>European Euro</t>
  </si>
  <si>
    <t>Switzerland Franc</t>
  </si>
  <si>
    <t>AUD</t>
  </si>
  <si>
    <t>JPY</t>
  </si>
  <si>
    <t>KRW</t>
  </si>
  <si>
    <t>TWD</t>
  </si>
  <si>
    <t>IDR</t>
  </si>
  <si>
    <t>MYR</t>
  </si>
  <si>
    <t>PHP</t>
  </si>
  <si>
    <t>SGD</t>
  </si>
  <si>
    <t>THB</t>
  </si>
  <si>
    <t>VND</t>
  </si>
  <si>
    <t>EUR</t>
  </si>
  <si>
    <t>GBP</t>
  </si>
  <si>
    <t>CHF</t>
  </si>
  <si>
    <t>HKD</t>
  </si>
  <si>
    <t>KHR</t>
  </si>
  <si>
    <t xml:space="preserve">     (-) = appreciation against US$</t>
  </si>
  <si>
    <t xml:space="preserve">     (+) = deppreciation against US$</t>
  </si>
  <si>
    <t>ASEAN</t>
  </si>
  <si>
    <r>
      <t>Sources</t>
    </r>
    <r>
      <rPr>
        <sz val="8"/>
        <rFont val="Arial"/>
        <family val="2"/>
      </rPr>
      <t xml:space="preserve">: Exchange Department </t>
    </r>
  </si>
  <si>
    <t>Approved by</t>
  </si>
  <si>
    <t>Checked by</t>
  </si>
  <si>
    <t>Indonesia Rupiah</t>
  </si>
  <si>
    <t>Malaysia Ringgit</t>
  </si>
  <si>
    <t xml:space="preserve">                                                                                                 Prepared by</t>
  </si>
  <si>
    <t xml:space="preserve">                                                                                  Phnom Penh, 04 October 2006</t>
  </si>
  <si>
    <t>China</t>
  </si>
  <si>
    <t>CNY</t>
  </si>
  <si>
    <t>Apr.-02</t>
  </si>
  <si>
    <t>Statistics Department</t>
  </si>
  <si>
    <t xml:space="preserve">                                Monetary and Financial Statistics Division</t>
  </si>
  <si>
    <t xml:space="preserve">       </t>
  </si>
  <si>
    <t xml:space="preserve">                                  SIM SOTHEARITH</t>
  </si>
  <si>
    <r>
      <t>Some Asean And European Currencies Against USD (</t>
    </r>
    <r>
      <rPr>
        <sz val="12"/>
        <rFont val="Arial"/>
        <family val="2"/>
      </rPr>
      <t>End Period Market Buying Rate</t>
    </r>
    <r>
      <rPr>
        <sz val="14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</si>
</sst>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"/>
    <numFmt numFmtId="165" formatCode="0.0000"/>
    <numFmt numFmtId="166" formatCode="0.000"/>
    <numFmt numFmtId="167" formatCode="[$-409]mmm\-yy;@"/>
    <numFmt numFmtId="168" formatCode="0.0"/>
    <numFmt numFmtId="169" formatCode="0.00000"/>
  </numFmts>
  <fonts count="20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4"/>
      <name val="Arial"/>
      <family val="2"/>
    </font>
    <font>
      <sz val="9"/>
      <color indexed="8"/>
      <name val="Arial"/>
      <family val="2"/>
    </font>
    <font>
      <u/>
      <sz val="8"/>
      <name val="Arial"/>
      <family val="2"/>
    </font>
    <font>
      <sz val="10"/>
      <color indexed="8"/>
      <name val="Arial"/>
      <family val="2"/>
    </font>
    <font>
      <u/>
      <sz val="9"/>
      <color indexed="16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8"/>
      <name val="Arial"/>
      <family val="2"/>
    </font>
    <font>
      <sz val="10"/>
      <color indexed="12"/>
      <name val="Arial"/>
      <family val="2"/>
    </font>
    <font>
      <u/>
      <sz val="9"/>
      <color indexed="8"/>
      <name val="Arial"/>
      <family val="2"/>
    </font>
    <font>
      <sz val="9"/>
      <color indexed="52"/>
      <name val="Arial"/>
      <family val="2"/>
    </font>
    <font>
      <sz val="9"/>
      <color indexed="10"/>
      <name val="Arial"/>
      <family val="2"/>
    </font>
    <font>
      <b/>
      <i/>
      <sz val="8"/>
      <name val="Arial"/>
      <family val="2"/>
    </font>
    <font>
      <b/>
      <sz val="1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7" fillId="0" borderId="0" xfId="0" applyFont="1"/>
    <xf numFmtId="0" fontId="3" fillId="0" borderId="0" xfId="0" applyFont="1"/>
    <xf numFmtId="0" fontId="3" fillId="0" borderId="2" xfId="0" applyFont="1" applyBorder="1"/>
    <xf numFmtId="165" fontId="4" fillId="0" borderId="2" xfId="0" applyNumberFormat="1" applyFont="1" applyBorder="1"/>
    <xf numFmtId="2" fontId="3" fillId="0" borderId="2" xfId="0" applyNumberFormat="1" applyFont="1" applyBorder="1"/>
    <xf numFmtId="166" fontId="3" fillId="0" borderId="2" xfId="0" applyNumberFormat="1" applyFont="1" applyBorder="1"/>
    <xf numFmtId="165" fontId="3" fillId="0" borderId="2" xfId="0" applyNumberFormat="1" applyFont="1" applyBorder="1"/>
    <xf numFmtId="14" fontId="9" fillId="0" borderId="0" xfId="0" applyNumberFormat="1" applyFont="1"/>
    <xf numFmtId="0" fontId="2" fillId="0" borderId="7" xfId="0" applyFont="1" applyBorder="1"/>
    <xf numFmtId="0" fontId="2" fillId="0" borderId="2" xfId="0" applyFont="1" applyBorder="1" applyAlignment="1">
      <alignment horizontal="center"/>
    </xf>
    <xf numFmtId="165" fontId="3" fillId="0" borderId="2" xfId="0" applyNumberFormat="1" applyFont="1" applyBorder="1" applyAlignment="1">
      <alignment horizontal="right"/>
    </xf>
    <xf numFmtId="2" fontId="2" fillId="0" borderId="0" xfId="0" applyNumberFormat="1" applyFont="1"/>
    <xf numFmtId="17" fontId="2" fillId="0" borderId="5" xfId="0" applyNumberFormat="1" applyFont="1" applyBorder="1" applyAlignment="1">
      <alignment horizontal="center" vertical="center"/>
    </xf>
    <xf numFmtId="3" fontId="3" fillId="0" borderId="2" xfId="0" applyNumberFormat="1" applyFont="1" applyBorder="1"/>
    <xf numFmtId="164" fontId="3" fillId="0" borderId="2" xfId="0" applyNumberFormat="1" applyFont="1" applyBorder="1"/>
    <xf numFmtId="0" fontId="8" fillId="2" borderId="9" xfId="0" applyFont="1" applyFill="1" applyBorder="1"/>
    <xf numFmtId="0" fontId="10" fillId="2" borderId="9" xfId="0" applyFont="1" applyFill="1" applyBorder="1" applyAlignment="1">
      <alignment horizontal="center"/>
    </xf>
    <xf numFmtId="0" fontId="11" fillId="0" borderId="9" xfId="0" applyFont="1" applyBorder="1" applyAlignment="1">
      <alignment horizontal="center"/>
    </xf>
    <xf numFmtId="3" fontId="3" fillId="2" borderId="2" xfId="0" applyNumberFormat="1" applyFont="1" applyFill="1" applyBorder="1"/>
    <xf numFmtId="165" fontId="4" fillId="2" borderId="2" xfId="0" applyNumberFormat="1" applyFont="1" applyFill="1" applyBorder="1"/>
    <xf numFmtId="165" fontId="3" fillId="2" borderId="2" xfId="0" applyNumberFormat="1" applyFont="1" applyFill="1" applyBorder="1"/>
    <xf numFmtId="0" fontId="13" fillId="0" borderId="0" xfId="0" applyFont="1"/>
    <xf numFmtId="0" fontId="14" fillId="2" borderId="9" xfId="0" applyFont="1" applyFill="1" applyBorder="1"/>
    <xf numFmtId="167" fontId="3" fillId="0" borderId="6" xfId="0" applyNumberFormat="1" applyFont="1" applyBorder="1" applyAlignment="1">
      <alignment horizontal="center" vertical="center"/>
    </xf>
    <xf numFmtId="167" fontId="3" fillId="0" borderId="5" xfId="0" applyNumberFormat="1" applyFont="1" applyBorder="1" applyAlignment="1">
      <alignment horizontal="center" vertical="center"/>
    </xf>
    <xf numFmtId="4" fontId="3" fillId="0" borderId="2" xfId="0" applyNumberFormat="1" applyFont="1" applyBorder="1"/>
    <xf numFmtId="165" fontId="3" fillId="0" borderId="1" xfId="0" applyNumberFormat="1" applyFont="1" applyBorder="1" applyAlignment="1">
      <alignment horizontal="right"/>
    </xf>
    <xf numFmtId="2" fontId="3" fillId="0" borderId="1" xfId="0" applyNumberFormat="1" applyFont="1" applyBorder="1"/>
    <xf numFmtId="164" fontId="3" fillId="0" borderId="1" xfId="0" applyNumberFormat="1" applyFont="1" applyBorder="1"/>
    <xf numFmtId="4" fontId="3" fillId="0" borderId="1" xfId="0" applyNumberFormat="1" applyFont="1" applyBorder="1"/>
    <xf numFmtId="3" fontId="3" fillId="0" borderId="1" xfId="0" applyNumberFormat="1" applyFont="1" applyBorder="1"/>
    <xf numFmtId="165" fontId="3" fillId="0" borderId="1" xfId="0" applyNumberFormat="1" applyFont="1" applyBorder="1"/>
    <xf numFmtId="3" fontId="3" fillId="2" borderId="1" xfId="0" applyNumberFormat="1" applyFont="1" applyFill="1" applyBorder="1"/>
    <xf numFmtId="165" fontId="3" fillId="2" borderId="1" xfId="0" applyNumberFormat="1" applyFont="1" applyFill="1" applyBorder="1"/>
    <xf numFmtId="0" fontId="2" fillId="0" borderId="2" xfId="0" applyFont="1" applyBorder="1"/>
    <xf numFmtId="0" fontId="3" fillId="0" borderId="8" xfId="0" applyFont="1" applyBorder="1"/>
    <xf numFmtId="0" fontId="8" fillId="2" borderId="10" xfId="0" applyFont="1" applyFill="1" applyBorder="1"/>
    <xf numFmtId="0" fontId="2" fillId="0" borderId="8" xfId="0" applyFont="1" applyBorder="1"/>
    <xf numFmtId="3" fontId="1" fillId="0" borderId="0" xfId="0" applyNumberFormat="1" applyFont="1" applyAlignment="1">
      <alignment horizontal="center"/>
    </xf>
    <xf numFmtId="0" fontId="1" fillId="0" borderId="0" xfId="0" applyFont="1"/>
    <xf numFmtId="165" fontId="4" fillId="0" borderId="1" xfId="0" applyNumberFormat="1" applyFont="1" applyBorder="1"/>
    <xf numFmtId="0" fontId="3" fillId="0" borderId="1" xfId="0" applyFont="1" applyBorder="1"/>
    <xf numFmtId="166" fontId="3" fillId="0" borderId="1" xfId="0" applyNumberFormat="1" applyFont="1" applyBorder="1"/>
    <xf numFmtId="165" fontId="4" fillId="2" borderId="1" xfId="0" applyNumberFormat="1" applyFont="1" applyFill="1" applyBorder="1"/>
    <xf numFmtId="0" fontId="2" fillId="0" borderId="0" xfId="0" applyFont="1" applyAlignment="1">
      <alignment horizontal="left"/>
    </xf>
    <xf numFmtId="0" fontId="3" fillId="3" borderId="1" xfId="0" applyFont="1" applyFill="1" applyBorder="1"/>
    <xf numFmtId="0" fontId="2" fillId="3" borderId="0" xfId="0" applyFont="1" applyFill="1"/>
    <xf numFmtId="14" fontId="9" fillId="3" borderId="0" xfId="0" applyNumberFormat="1" applyFont="1" applyFill="1"/>
    <xf numFmtId="167" fontId="3" fillId="3" borderId="6" xfId="0" applyNumberFormat="1" applyFont="1" applyFill="1" applyBorder="1" applyAlignment="1">
      <alignment horizontal="center" vertical="center"/>
    </xf>
    <xf numFmtId="0" fontId="2" fillId="3" borderId="2" xfId="0" applyFont="1" applyFill="1" applyBorder="1"/>
    <xf numFmtId="165" fontId="4" fillId="3" borderId="1" xfId="0" applyNumberFormat="1" applyFont="1" applyFill="1" applyBorder="1"/>
    <xf numFmtId="165" fontId="3" fillId="3" borderId="1" xfId="0" applyNumberFormat="1" applyFont="1" applyFill="1" applyBorder="1" applyAlignment="1">
      <alignment horizontal="right"/>
    </xf>
    <xf numFmtId="2" fontId="3" fillId="3" borderId="1" xfId="0" applyNumberFormat="1" applyFont="1" applyFill="1" applyBorder="1"/>
    <xf numFmtId="164" fontId="3" fillId="3" borderId="1" xfId="0" applyNumberFormat="1" applyFont="1" applyFill="1" applyBorder="1"/>
    <xf numFmtId="4" fontId="3" fillId="3" borderId="1" xfId="0" applyNumberFormat="1" applyFont="1" applyFill="1" applyBorder="1"/>
    <xf numFmtId="3" fontId="3" fillId="3" borderId="1" xfId="0" applyNumberFormat="1" applyFont="1" applyFill="1" applyBorder="1"/>
    <xf numFmtId="165" fontId="3" fillId="3" borderId="1" xfId="0" applyNumberFormat="1" applyFont="1" applyFill="1" applyBorder="1"/>
    <xf numFmtId="166" fontId="3" fillId="3" borderId="1" xfId="0" applyNumberFormat="1" applyFont="1" applyFill="1" applyBorder="1"/>
    <xf numFmtId="0" fontId="3" fillId="3" borderId="8" xfId="0" applyFont="1" applyFill="1" applyBorder="1"/>
    <xf numFmtId="0" fontId="2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14" fontId="15" fillId="0" borderId="0" xfId="0" applyNumberFormat="1" applyFont="1"/>
    <xf numFmtId="17" fontId="2" fillId="0" borderId="5" xfId="0" applyNumberFormat="1" applyFont="1" applyBorder="1" applyAlignment="1">
      <alignment horizontal="center"/>
    </xf>
    <xf numFmtId="17" fontId="2" fillId="0" borderId="5" xfId="0" applyNumberFormat="1" applyFont="1" applyBorder="1" applyAlignment="1">
      <alignment horizontal="left" vertical="center"/>
    </xf>
    <xf numFmtId="2" fontId="2" fillId="0" borderId="7" xfId="0" applyNumberFormat="1" applyFont="1" applyBorder="1"/>
    <xf numFmtId="0" fontId="6" fillId="0" borderId="2" xfId="0" applyFont="1" applyBorder="1"/>
    <xf numFmtId="165" fontId="3" fillId="0" borderId="2" xfId="0" applyNumberFormat="1" applyFont="1" applyBorder="1" applyAlignment="1">
      <alignment horizontal="left" indent="1"/>
    </xf>
    <xf numFmtId="168" fontId="2" fillId="0" borderId="2" xfId="0" applyNumberFormat="1" applyFont="1" applyBorder="1"/>
    <xf numFmtId="1" fontId="2" fillId="0" borderId="2" xfId="0" applyNumberFormat="1" applyFont="1" applyBorder="1"/>
    <xf numFmtId="2" fontId="2" fillId="0" borderId="2" xfId="0" applyNumberFormat="1" applyFont="1" applyBorder="1"/>
    <xf numFmtId="169" fontId="2" fillId="0" borderId="2" xfId="0" applyNumberFormat="1" applyFont="1" applyBorder="1"/>
    <xf numFmtId="169" fontId="3" fillId="0" borderId="2" xfId="0" applyNumberFormat="1" applyFont="1" applyBorder="1"/>
    <xf numFmtId="165" fontId="2" fillId="0" borderId="2" xfId="0" applyNumberFormat="1" applyFont="1" applyBorder="1"/>
    <xf numFmtId="2" fontId="3" fillId="0" borderId="8" xfId="0" applyNumberFormat="1" applyFont="1" applyBorder="1"/>
    <xf numFmtId="2" fontId="16" fillId="0" borderId="0" xfId="0" applyNumberFormat="1" applyFont="1"/>
    <xf numFmtId="0" fontId="12" fillId="0" borderId="0" xfId="0" applyFont="1"/>
    <xf numFmtId="0" fontId="17" fillId="0" borderId="0" xfId="0" applyFont="1"/>
    <xf numFmtId="0" fontId="12" fillId="0" borderId="0" xfId="0" applyFont="1" applyAlignment="1">
      <alignment horizontal="right"/>
    </xf>
    <xf numFmtId="0" fontId="18" fillId="0" borderId="0" xfId="0" applyFont="1"/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2" fillId="3" borderId="7" xfId="0" applyFont="1" applyFill="1" applyBorder="1"/>
    <xf numFmtId="165" fontId="4" fillId="3" borderId="2" xfId="0" applyNumberFormat="1" applyFont="1" applyFill="1" applyBorder="1"/>
    <xf numFmtId="165" fontId="3" fillId="3" borderId="2" xfId="0" applyNumberFormat="1" applyFont="1" applyFill="1" applyBorder="1" applyAlignment="1">
      <alignment horizontal="right"/>
    </xf>
    <xf numFmtId="2" fontId="3" fillId="3" borderId="2" xfId="0" applyNumberFormat="1" applyFont="1" applyFill="1" applyBorder="1"/>
    <xf numFmtId="164" fontId="3" fillId="3" borderId="2" xfId="0" applyNumberFormat="1" applyFont="1" applyFill="1" applyBorder="1"/>
    <xf numFmtId="4" fontId="3" fillId="3" borderId="2" xfId="0" applyNumberFormat="1" applyFont="1" applyFill="1" applyBorder="1"/>
    <xf numFmtId="3" fontId="3" fillId="3" borderId="2" xfId="0" applyNumberFormat="1" applyFont="1" applyFill="1" applyBorder="1"/>
    <xf numFmtId="165" fontId="3" fillId="3" borderId="2" xfId="0" applyNumberFormat="1" applyFont="1" applyFill="1" applyBorder="1"/>
    <xf numFmtId="0" fontId="3" fillId="3" borderId="2" xfId="0" applyFont="1" applyFill="1" applyBorder="1"/>
    <xf numFmtId="166" fontId="3" fillId="3" borderId="2" xfId="0" applyNumberFormat="1" applyFont="1" applyFill="1" applyBorder="1"/>
    <xf numFmtId="0" fontId="5" fillId="0" borderId="0" xfId="0" applyFont="1" applyAlignment="1">
      <alignment horizont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S5579"/>
  <sheetViews>
    <sheetView tabSelected="1" view="pageBreakPreview" zoomScale="85" zoomScaleNormal="100" zoomScaleSheetLayoutView="85" workbookViewId="0">
      <pane xSplit="1" ySplit="4" topLeftCell="HX5" activePane="bottomRight" state="frozen"/>
      <selection pane="topRight" activeCell="B1" sqref="B1"/>
      <selection pane="bottomLeft" activeCell="A6" sqref="A6"/>
      <selection pane="bottomRight" activeCell="JX8" sqref="JX8"/>
    </sheetView>
  </sheetViews>
  <sheetFormatPr defaultColWidth="9.140625" defaultRowHeight="12" x14ac:dyDescent="0.2"/>
  <cols>
    <col min="1" max="1" width="20.5703125" style="1" customWidth="1"/>
    <col min="2" max="2" width="6.140625" style="1" customWidth="1"/>
    <col min="3" max="3" width="9.140625" style="1" hidden="1" customWidth="1"/>
    <col min="4" max="15" width="7.28515625" style="1" hidden="1" customWidth="1"/>
    <col min="16" max="16" width="7.140625" style="1" hidden="1" customWidth="1"/>
    <col min="17" max="27" width="7.28515625" style="1" hidden="1" customWidth="1"/>
    <col min="28" max="28" width="7.140625" style="1" hidden="1" customWidth="1"/>
    <col min="29" max="38" width="7.28515625" style="1" hidden="1" customWidth="1"/>
    <col min="39" max="39" width="8" style="1" hidden="1" customWidth="1"/>
    <col min="40" max="40" width="7.140625" style="1" hidden="1" customWidth="1"/>
    <col min="41" max="44" width="7.28515625" style="1" hidden="1" customWidth="1"/>
    <col min="45" max="45" width="7.5703125" style="1" hidden="1" customWidth="1"/>
    <col min="46" max="47" width="7.42578125" style="1" hidden="1" customWidth="1"/>
    <col min="48" max="49" width="7.7109375" style="1" hidden="1" customWidth="1"/>
    <col min="50" max="51" width="7.42578125" style="1" hidden="1" customWidth="1"/>
    <col min="52" max="122" width="7.140625" style="1" hidden="1" customWidth="1"/>
    <col min="123" max="123" width="0.5703125" style="1" hidden="1" customWidth="1"/>
    <col min="124" max="124" width="6.140625" style="1" hidden="1" customWidth="1"/>
    <col min="125" max="134" width="7.140625" style="1" hidden="1" customWidth="1"/>
    <col min="135" max="135" width="0.140625" style="1" hidden="1" customWidth="1"/>
    <col min="136" max="146" width="5.85546875" style="1" hidden="1" customWidth="1"/>
    <col min="147" max="147" width="0.140625" style="1" hidden="1" customWidth="1"/>
    <col min="148" max="150" width="5.85546875" style="1" hidden="1" customWidth="1"/>
    <col min="151" max="151" width="6" style="1" hidden="1" customWidth="1"/>
    <col min="152" max="153" width="5.85546875" style="1" hidden="1" customWidth="1"/>
    <col min="154" max="154" width="6.42578125" style="1" hidden="1" customWidth="1"/>
    <col min="155" max="156" width="5.85546875" style="1" hidden="1" customWidth="1"/>
    <col min="157" max="158" width="6.140625" style="1" hidden="1" customWidth="1"/>
    <col min="159" max="159" width="2.5703125" style="1" hidden="1" customWidth="1"/>
    <col min="160" max="160" width="6.42578125" style="52" hidden="1" customWidth="1"/>
    <col min="161" max="162" width="6.28515625" style="52" hidden="1" customWidth="1"/>
    <col min="163" max="164" width="6.5703125" style="52" hidden="1" customWidth="1"/>
    <col min="165" max="166" width="6" style="52" hidden="1" customWidth="1"/>
    <col min="167" max="167" width="6.42578125" style="52" hidden="1" customWidth="1"/>
    <col min="168" max="184" width="6.7109375" style="52" hidden="1" customWidth="1"/>
    <col min="185" max="185" width="5.7109375" style="52" hidden="1" customWidth="1"/>
    <col min="186" max="188" width="6.7109375" style="52" hidden="1" customWidth="1"/>
    <col min="189" max="190" width="6" style="52" hidden="1" customWidth="1"/>
    <col min="191" max="192" width="6.140625" style="52" hidden="1" customWidth="1"/>
    <col min="193" max="194" width="6.28515625" style="52" hidden="1" customWidth="1"/>
    <col min="195" max="195" width="6.42578125" style="52" hidden="1" customWidth="1"/>
    <col min="196" max="196" width="6.28515625" style="52" hidden="1" customWidth="1"/>
    <col min="197" max="197" width="6.140625" style="52" hidden="1" customWidth="1"/>
    <col min="198" max="198" width="5.85546875" style="52" hidden="1" customWidth="1"/>
    <col min="199" max="199" width="6" style="52" hidden="1" customWidth="1"/>
    <col min="200" max="202" width="6.28515625" style="52" hidden="1" customWidth="1"/>
    <col min="203" max="203" width="6.140625" style="52" hidden="1" customWidth="1"/>
    <col min="204" max="204" width="6" style="52" hidden="1" customWidth="1"/>
    <col min="205" max="205" width="6.28515625" style="52" hidden="1" customWidth="1"/>
    <col min="206" max="206" width="6.140625" style="52" hidden="1" customWidth="1"/>
    <col min="207" max="207" width="5.85546875" style="52" hidden="1" customWidth="1"/>
    <col min="208" max="208" width="6.140625" style="52" customWidth="1"/>
    <col min="209" max="209" width="6" style="52" hidden="1" customWidth="1"/>
    <col min="210" max="219" width="5.85546875" style="52" hidden="1" customWidth="1"/>
    <col min="220" max="220" width="5.85546875" style="52" customWidth="1"/>
    <col min="221" max="231" width="5.85546875" style="52" hidden="1" customWidth="1"/>
    <col min="232" max="232" width="5.85546875" style="52" customWidth="1"/>
    <col min="233" max="243" width="5.85546875" style="52" hidden="1" customWidth="1"/>
    <col min="244" max="244" width="5.85546875" style="52" customWidth="1"/>
    <col min="245" max="255" width="5.85546875" style="52" hidden="1" customWidth="1"/>
    <col min="256" max="256" width="5.85546875" style="52" customWidth="1"/>
    <col min="257" max="268" width="5.85546875" style="52" hidden="1" customWidth="1"/>
    <col min="269" max="305" width="5.85546875" style="52" customWidth="1"/>
    <col min="306" max="16384" width="9.140625" style="1"/>
  </cols>
  <sheetData>
    <row r="2" spans="1:305" ht="15.75" customHeight="1" x14ac:dyDescent="0.25">
      <c r="A2" s="97" t="s">
        <v>48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  <c r="CS2" s="97"/>
      <c r="CT2" s="97"/>
      <c r="CU2" s="97"/>
      <c r="CV2" s="97"/>
      <c r="CW2" s="97"/>
      <c r="CX2" s="97"/>
      <c r="CY2" s="97"/>
      <c r="CZ2" s="97"/>
      <c r="DA2" s="97"/>
      <c r="DB2" s="97"/>
      <c r="DC2" s="97"/>
      <c r="DD2" s="97"/>
      <c r="DE2" s="97"/>
      <c r="DF2" s="97"/>
      <c r="DG2" s="97"/>
      <c r="DH2" s="97"/>
      <c r="DI2" s="97"/>
      <c r="DJ2" s="97"/>
      <c r="DK2" s="97"/>
      <c r="DL2" s="97"/>
      <c r="DM2" s="97"/>
      <c r="DN2" s="97"/>
      <c r="DO2" s="97"/>
      <c r="DP2" s="97"/>
      <c r="DQ2" s="97"/>
      <c r="DR2" s="97"/>
      <c r="DS2" s="97"/>
      <c r="DT2" s="97"/>
      <c r="DU2" s="97"/>
      <c r="DV2" s="97"/>
      <c r="DW2" s="97"/>
      <c r="DX2" s="97"/>
      <c r="DY2" s="97"/>
      <c r="DZ2" s="97"/>
      <c r="EA2" s="97"/>
      <c r="EB2" s="97"/>
      <c r="EC2" s="97"/>
      <c r="ED2" s="97"/>
      <c r="EE2" s="97"/>
      <c r="EF2" s="97"/>
      <c r="EG2" s="97"/>
      <c r="EH2" s="97"/>
      <c r="EI2" s="97"/>
      <c r="EJ2" s="97"/>
      <c r="EK2" s="97"/>
      <c r="EL2" s="97"/>
      <c r="EM2" s="97"/>
      <c r="EN2" s="97"/>
      <c r="EO2" s="97"/>
      <c r="EP2" s="97"/>
      <c r="EQ2" s="97"/>
      <c r="ER2" s="97"/>
      <c r="ES2" s="97"/>
      <c r="ET2" s="97"/>
      <c r="EU2" s="97"/>
      <c r="EV2" s="97"/>
      <c r="EW2" s="97"/>
      <c r="EX2" s="97"/>
      <c r="EY2" s="97"/>
      <c r="EZ2" s="97"/>
      <c r="FA2" s="97"/>
      <c r="FB2" s="97"/>
      <c r="FC2" s="97"/>
      <c r="FD2" s="97"/>
      <c r="FE2" s="97"/>
      <c r="FF2" s="97"/>
      <c r="FG2" s="97"/>
      <c r="FH2" s="97"/>
      <c r="FI2" s="97"/>
      <c r="FJ2" s="97"/>
      <c r="FK2" s="97"/>
      <c r="FL2" s="97"/>
      <c r="FM2" s="97"/>
      <c r="FN2" s="97"/>
      <c r="FO2" s="97"/>
      <c r="FP2" s="97"/>
      <c r="FQ2" s="97"/>
      <c r="FR2" s="97"/>
      <c r="FS2" s="97"/>
      <c r="FT2" s="97"/>
      <c r="FU2" s="97"/>
      <c r="FV2" s="97"/>
      <c r="FW2" s="97"/>
      <c r="FX2" s="97"/>
      <c r="FY2" s="97"/>
      <c r="FZ2" s="97"/>
      <c r="GA2" s="97"/>
      <c r="GB2" s="97"/>
      <c r="GC2" s="97"/>
      <c r="GD2" s="97"/>
      <c r="GE2" s="97"/>
      <c r="GF2" s="97"/>
      <c r="GG2" s="97"/>
      <c r="GH2" s="97"/>
      <c r="GI2" s="97"/>
      <c r="GJ2" s="97"/>
      <c r="GK2" s="97"/>
      <c r="GL2" s="97"/>
      <c r="GM2" s="97"/>
      <c r="GN2" s="97"/>
      <c r="GO2" s="97"/>
      <c r="GP2" s="97"/>
      <c r="GQ2" s="97"/>
      <c r="GR2" s="97"/>
      <c r="GS2" s="97"/>
      <c r="GT2" s="97"/>
      <c r="GU2" s="97"/>
      <c r="GV2" s="97"/>
      <c r="GW2" s="97"/>
      <c r="GX2" s="97"/>
      <c r="GY2" s="97"/>
      <c r="GZ2" s="97"/>
      <c r="HA2" s="97"/>
      <c r="HB2" s="97"/>
      <c r="HC2" s="97"/>
      <c r="HD2" s="97"/>
      <c r="HE2" s="97"/>
      <c r="HF2" s="97"/>
      <c r="HG2" s="97"/>
      <c r="HH2" s="97"/>
      <c r="HI2" s="97"/>
      <c r="HJ2" s="97"/>
      <c r="HK2" s="97"/>
      <c r="HL2" s="97"/>
      <c r="HM2" s="97"/>
      <c r="HN2" s="97"/>
      <c r="HO2" s="97"/>
      <c r="HP2" s="97"/>
      <c r="HQ2" s="97"/>
      <c r="HR2" s="97"/>
      <c r="HS2" s="97"/>
      <c r="HT2" s="97"/>
      <c r="HU2" s="97"/>
      <c r="HV2" s="97"/>
      <c r="HW2" s="97"/>
      <c r="HX2" s="97"/>
      <c r="HY2" s="97"/>
      <c r="HZ2" s="97"/>
      <c r="IA2" s="97"/>
      <c r="IB2" s="97"/>
      <c r="IC2" s="97"/>
      <c r="ID2" s="97"/>
      <c r="IE2" s="97"/>
      <c r="IF2" s="97"/>
      <c r="IG2" s="97"/>
      <c r="IH2" s="97"/>
      <c r="II2" s="97"/>
      <c r="IJ2" s="97"/>
      <c r="IK2" s="97"/>
      <c r="IL2" s="97"/>
      <c r="IM2" s="97"/>
      <c r="IN2" s="97"/>
      <c r="IO2" s="97"/>
      <c r="IP2" s="97"/>
      <c r="IQ2" s="97"/>
      <c r="IR2" s="97"/>
      <c r="IS2" s="97"/>
      <c r="IT2" s="97"/>
      <c r="IU2" s="97"/>
      <c r="IV2" s="97"/>
      <c r="IW2" s="97"/>
      <c r="IX2" s="97"/>
      <c r="IY2" s="97"/>
      <c r="IZ2" s="97"/>
      <c r="JA2" s="97"/>
      <c r="JB2" s="97"/>
      <c r="JC2" s="97"/>
      <c r="JD2" s="97"/>
      <c r="JE2" s="97"/>
      <c r="JF2" s="97"/>
      <c r="JG2" s="97"/>
      <c r="JH2" s="97"/>
      <c r="JI2" s="97"/>
      <c r="JJ2" s="97"/>
      <c r="JK2" s="97"/>
      <c r="JL2" s="97"/>
      <c r="JM2" s="97"/>
      <c r="JN2" s="97"/>
      <c r="JO2" s="97"/>
      <c r="JP2" s="97"/>
      <c r="JQ2" s="97"/>
      <c r="JR2" s="97"/>
      <c r="JS2" s="97"/>
      <c r="JT2" s="97"/>
      <c r="JU2" s="97"/>
      <c r="JV2" s="97"/>
      <c r="JW2" s="97"/>
      <c r="JX2" s="97"/>
      <c r="JY2" s="97"/>
      <c r="JZ2" s="97"/>
      <c r="KA2" s="97"/>
      <c r="KB2" s="97"/>
      <c r="KC2" s="97"/>
      <c r="KD2" s="97"/>
      <c r="KE2" s="97"/>
      <c r="KF2" s="97"/>
      <c r="KG2" s="97"/>
      <c r="KH2" s="97"/>
      <c r="KI2" s="97"/>
      <c r="KJ2" s="97"/>
      <c r="KK2" s="97"/>
      <c r="KL2" s="97"/>
      <c r="KM2" s="97"/>
      <c r="KN2" s="97"/>
      <c r="KO2" s="97"/>
      <c r="KP2" s="97"/>
      <c r="KQ2" s="97"/>
      <c r="KR2" s="97"/>
      <c r="KS2" s="97"/>
    </row>
    <row r="3" spans="1:305" ht="9" customHeight="1" thickBot="1" x14ac:dyDescent="0.25"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53"/>
      <c r="FE3" s="53"/>
      <c r="FF3" s="53"/>
      <c r="FG3" s="53"/>
      <c r="FH3" s="53"/>
      <c r="FI3" s="53"/>
      <c r="FJ3" s="53"/>
      <c r="FK3" s="53"/>
      <c r="FL3" s="53"/>
      <c r="FM3" s="53"/>
      <c r="FN3" s="53"/>
      <c r="FO3" s="53"/>
      <c r="FP3" s="53"/>
      <c r="FQ3" s="53"/>
      <c r="FR3" s="53"/>
      <c r="FS3" s="53"/>
      <c r="FT3" s="53"/>
      <c r="FU3" s="53"/>
      <c r="FV3" s="53"/>
      <c r="FW3" s="53"/>
      <c r="FX3" s="53"/>
      <c r="FY3" s="53"/>
      <c r="FZ3" s="53"/>
      <c r="GA3" s="53"/>
      <c r="GB3" s="53"/>
      <c r="GC3" s="53"/>
      <c r="GD3" s="53"/>
      <c r="GE3" s="53"/>
      <c r="GF3" s="53"/>
      <c r="GG3" s="53"/>
      <c r="GH3" s="53"/>
      <c r="GI3" s="53"/>
      <c r="GJ3" s="53"/>
      <c r="GK3" s="53"/>
      <c r="GL3" s="53"/>
      <c r="GM3" s="53"/>
      <c r="GN3" s="53"/>
      <c r="GO3" s="53"/>
      <c r="GP3" s="53"/>
      <c r="GQ3" s="53"/>
      <c r="GR3" s="53"/>
      <c r="GS3" s="53"/>
      <c r="GT3" s="53"/>
      <c r="GU3" s="53"/>
      <c r="GV3" s="53"/>
      <c r="GW3" s="53"/>
      <c r="GX3" s="53"/>
      <c r="GY3" s="53"/>
      <c r="GZ3" s="53"/>
      <c r="HA3" s="53"/>
      <c r="HB3" s="53"/>
      <c r="HC3" s="53"/>
      <c r="HD3" s="53"/>
      <c r="HE3" s="53"/>
      <c r="HF3" s="53"/>
      <c r="HG3" s="53"/>
      <c r="HH3" s="53"/>
      <c r="HI3" s="53"/>
      <c r="HJ3" s="53"/>
      <c r="HK3" s="53"/>
      <c r="HL3" s="53"/>
      <c r="HM3" s="53"/>
      <c r="HN3" s="53"/>
      <c r="HO3" s="53"/>
      <c r="HP3" s="53"/>
      <c r="HQ3" s="53"/>
      <c r="HR3" s="53"/>
      <c r="HS3" s="53"/>
      <c r="HT3" s="53"/>
      <c r="HU3" s="53"/>
      <c r="HV3" s="53"/>
      <c r="HW3" s="53"/>
      <c r="HX3" s="53"/>
      <c r="HY3" s="53"/>
      <c r="HZ3" s="53"/>
      <c r="IA3" s="53"/>
      <c r="IB3" s="53"/>
      <c r="IC3" s="53"/>
      <c r="ID3" s="53"/>
      <c r="IE3" s="53"/>
      <c r="IF3" s="53"/>
      <c r="IG3" s="53"/>
      <c r="IH3" s="53"/>
      <c r="II3" s="53"/>
      <c r="IJ3" s="53"/>
      <c r="IK3" s="53"/>
      <c r="IL3" s="53"/>
      <c r="IM3" s="53"/>
      <c r="IN3" s="53"/>
      <c r="IO3" s="53"/>
      <c r="IP3" s="53"/>
      <c r="IQ3" s="53"/>
      <c r="IR3" s="53"/>
      <c r="IS3" s="53"/>
      <c r="IT3" s="53"/>
      <c r="IU3" s="53"/>
      <c r="IV3" s="53"/>
      <c r="IW3" s="53"/>
      <c r="IX3" s="53"/>
      <c r="IY3" s="53"/>
      <c r="IZ3" s="53"/>
      <c r="JA3" s="53"/>
      <c r="JB3" s="53"/>
      <c r="JC3" s="53"/>
      <c r="JD3" s="53"/>
      <c r="JE3" s="53"/>
      <c r="JF3" s="53"/>
      <c r="JG3" s="53"/>
      <c r="JH3" s="53"/>
      <c r="JI3" s="53"/>
      <c r="JJ3" s="53"/>
      <c r="JK3" s="53"/>
      <c r="JL3" s="53"/>
      <c r="JM3" s="53"/>
      <c r="JN3" s="53"/>
      <c r="JO3" s="53"/>
      <c r="JP3" s="53"/>
      <c r="JQ3" s="53"/>
      <c r="JR3" s="53"/>
      <c r="JS3" s="53"/>
      <c r="JT3" s="53"/>
      <c r="JU3" s="53"/>
      <c r="JV3" s="53"/>
      <c r="JW3" s="53"/>
      <c r="JX3" s="53"/>
      <c r="JY3" s="53"/>
      <c r="JZ3" s="53"/>
      <c r="KA3" s="53"/>
      <c r="KB3" s="53"/>
      <c r="KC3" s="53"/>
      <c r="KD3" s="53"/>
      <c r="KE3" s="53"/>
      <c r="KF3" s="53"/>
      <c r="KG3" s="53"/>
      <c r="KH3" s="53"/>
      <c r="KI3" s="53"/>
      <c r="KJ3" s="53"/>
      <c r="KK3" s="53"/>
      <c r="KL3" s="53"/>
      <c r="KM3" s="53"/>
      <c r="KN3" s="53"/>
      <c r="KO3" s="53"/>
      <c r="KP3" s="53"/>
      <c r="KQ3" s="53"/>
      <c r="KR3" s="53"/>
      <c r="KS3" s="53"/>
    </row>
    <row r="4" spans="1:305" s="4" customFormat="1" ht="31.5" customHeight="1" thickTop="1" thickBot="1" x14ac:dyDescent="0.25">
      <c r="A4" s="65" t="s">
        <v>0</v>
      </c>
      <c r="B4" s="5"/>
      <c r="C4" s="68">
        <v>36495</v>
      </c>
      <c r="D4" s="18">
        <v>36861</v>
      </c>
      <c r="E4" s="68">
        <v>36892</v>
      </c>
      <c r="F4" s="68">
        <v>36923</v>
      </c>
      <c r="G4" s="68">
        <v>36951</v>
      </c>
      <c r="H4" s="68">
        <v>36982</v>
      </c>
      <c r="I4" s="68">
        <v>37012</v>
      </c>
      <c r="J4" s="68">
        <v>37043</v>
      </c>
      <c r="K4" s="68">
        <v>37073</v>
      </c>
      <c r="L4" s="68">
        <v>37104</v>
      </c>
      <c r="M4" s="68">
        <v>37135</v>
      </c>
      <c r="N4" s="68">
        <v>37165</v>
      </c>
      <c r="O4" s="68">
        <v>37196</v>
      </c>
      <c r="P4" s="18">
        <v>37226</v>
      </c>
      <c r="Q4" s="18">
        <v>37257</v>
      </c>
      <c r="R4" s="18">
        <v>37288</v>
      </c>
      <c r="S4" s="18">
        <v>37316</v>
      </c>
      <c r="T4" s="18" t="s">
        <v>43</v>
      </c>
      <c r="U4" s="18">
        <v>37378</v>
      </c>
      <c r="V4" s="18">
        <v>37408</v>
      </c>
      <c r="W4" s="18">
        <v>37438</v>
      </c>
      <c r="X4" s="18">
        <v>37499</v>
      </c>
      <c r="Y4" s="18">
        <v>37529</v>
      </c>
      <c r="Z4" s="18">
        <v>37560</v>
      </c>
      <c r="AA4" s="18">
        <v>37590</v>
      </c>
      <c r="AB4" s="18">
        <v>37621</v>
      </c>
      <c r="AC4" s="18">
        <v>37652</v>
      </c>
      <c r="AD4" s="18">
        <v>37680</v>
      </c>
      <c r="AE4" s="18">
        <v>37711</v>
      </c>
      <c r="AF4" s="18">
        <v>37741</v>
      </c>
      <c r="AG4" s="18">
        <v>37772</v>
      </c>
      <c r="AH4" s="18">
        <v>37802</v>
      </c>
      <c r="AI4" s="18">
        <v>37833</v>
      </c>
      <c r="AJ4" s="18">
        <v>37864</v>
      </c>
      <c r="AK4" s="69">
        <v>37894</v>
      </c>
      <c r="AL4" s="18">
        <v>37925</v>
      </c>
      <c r="AM4" s="18">
        <v>37955</v>
      </c>
      <c r="AN4" s="18">
        <v>37986</v>
      </c>
      <c r="AO4" s="18">
        <v>37990</v>
      </c>
      <c r="AP4" s="18">
        <v>38046</v>
      </c>
      <c r="AQ4" s="18">
        <v>38077</v>
      </c>
      <c r="AR4" s="18">
        <v>38107</v>
      </c>
      <c r="AS4" s="18">
        <v>38138</v>
      </c>
      <c r="AT4" s="18">
        <v>38168</v>
      </c>
      <c r="AU4" s="18">
        <v>38199</v>
      </c>
      <c r="AV4" s="18">
        <v>38230</v>
      </c>
      <c r="AW4" s="18">
        <v>38260</v>
      </c>
      <c r="AX4" s="18">
        <v>38288</v>
      </c>
      <c r="AY4" s="18">
        <v>38321</v>
      </c>
      <c r="AZ4" s="18">
        <v>38352</v>
      </c>
      <c r="BA4" s="18">
        <v>38383</v>
      </c>
      <c r="BB4" s="30">
        <v>38411</v>
      </c>
      <c r="BC4" s="30">
        <v>38442</v>
      </c>
      <c r="BD4" s="30">
        <v>38471</v>
      </c>
      <c r="BE4" s="30">
        <v>38499</v>
      </c>
      <c r="BF4" s="30">
        <v>38533</v>
      </c>
      <c r="BG4" s="30">
        <v>38562</v>
      </c>
      <c r="BH4" s="30">
        <v>38594</v>
      </c>
      <c r="BI4" s="30">
        <v>38625</v>
      </c>
      <c r="BJ4" s="30">
        <v>38653</v>
      </c>
      <c r="BK4" s="30">
        <v>38686</v>
      </c>
      <c r="BL4" s="30">
        <v>38716</v>
      </c>
      <c r="BM4" s="30">
        <v>38723</v>
      </c>
      <c r="BN4" s="30">
        <v>38754</v>
      </c>
      <c r="BO4" s="30">
        <v>38782</v>
      </c>
      <c r="BP4" s="30">
        <v>38813</v>
      </c>
      <c r="BQ4" s="30">
        <v>38843</v>
      </c>
      <c r="BR4" s="30">
        <v>38874</v>
      </c>
      <c r="BS4" s="30">
        <v>38904</v>
      </c>
      <c r="BT4" s="30">
        <v>38935</v>
      </c>
      <c r="BU4" s="30">
        <v>38966</v>
      </c>
      <c r="BV4" s="30">
        <v>38996</v>
      </c>
      <c r="BW4" s="30">
        <v>39027</v>
      </c>
      <c r="BX4" s="30">
        <v>39057</v>
      </c>
      <c r="BY4" s="30">
        <v>39088</v>
      </c>
      <c r="BZ4" s="30">
        <v>39120</v>
      </c>
      <c r="CA4" s="30">
        <v>39148</v>
      </c>
      <c r="CB4" s="30">
        <v>39179</v>
      </c>
      <c r="CC4" s="30">
        <v>39210</v>
      </c>
      <c r="CD4" s="30">
        <v>39242</v>
      </c>
      <c r="CE4" s="30">
        <v>39273</v>
      </c>
      <c r="CF4" s="30">
        <v>39304</v>
      </c>
      <c r="CG4" s="30">
        <v>39332</v>
      </c>
      <c r="CH4" s="30">
        <v>39362</v>
      </c>
      <c r="CI4" s="30">
        <v>39393</v>
      </c>
      <c r="CJ4" s="30">
        <v>39424</v>
      </c>
      <c r="CK4" s="30">
        <v>39455</v>
      </c>
      <c r="CL4" s="30">
        <v>39487</v>
      </c>
      <c r="CM4" s="30">
        <v>39517</v>
      </c>
      <c r="CN4" s="30">
        <v>39549</v>
      </c>
      <c r="CO4" s="30">
        <v>39576</v>
      </c>
      <c r="CP4" s="30">
        <v>39606</v>
      </c>
      <c r="CQ4" s="30">
        <v>39637</v>
      </c>
      <c r="CR4" s="30">
        <v>39668</v>
      </c>
      <c r="CS4" s="30">
        <v>39699</v>
      </c>
      <c r="CT4" s="30">
        <v>39729</v>
      </c>
      <c r="CU4" s="30">
        <v>39760</v>
      </c>
      <c r="CV4" s="30">
        <v>39791</v>
      </c>
      <c r="CW4" s="30">
        <v>39814</v>
      </c>
      <c r="CX4" s="30">
        <v>39846</v>
      </c>
      <c r="CY4" s="30">
        <v>39875</v>
      </c>
      <c r="CZ4" s="30">
        <v>39912</v>
      </c>
      <c r="DA4" s="30">
        <v>39943</v>
      </c>
      <c r="DB4" s="30">
        <v>39975</v>
      </c>
      <c r="DC4" s="30">
        <v>40006</v>
      </c>
      <c r="DD4" s="30">
        <v>40034</v>
      </c>
      <c r="DE4" s="30">
        <v>40066</v>
      </c>
      <c r="DF4" s="30">
        <v>40097</v>
      </c>
      <c r="DG4" s="30">
        <v>40129</v>
      </c>
      <c r="DH4" s="30">
        <v>40160</v>
      </c>
      <c r="DI4" s="30">
        <v>40192</v>
      </c>
      <c r="DJ4" s="30">
        <v>40224</v>
      </c>
      <c r="DK4" s="30">
        <v>40253</v>
      </c>
      <c r="DL4" s="30">
        <v>40285</v>
      </c>
      <c r="DM4" s="30">
        <v>40315</v>
      </c>
      <c r="DN4" s="30">
        <v>40347</v>
      </c>
      <c r="DO4" s="30">
        <v>40369</v>
      </c>
      <c r="DP4" s="30">
        <v>40401</v>
      </c>
      <c r="DQ4" s="30">
        <v>40433</v>
      </c>
      <c r="DR4" s="30">
        <v>40464</v>
      </c>
      <c r="DS4" s="30">
        <v>40496</v>
      </c>
      <c r="DT4" s="30">
        <v>40527</v>
      </c>
      <c r="DU4" s="30">
        <v>40554</v>
      </c>
      <c r="DV4" s="29">
        <v>40586</v>
      </c>
      <c r="DW4" s="29">
        <v>40615</v>
      </c>
      <c r="DX4" s="29">
        <v>40647</v>
      </c>
      <c r="DY4" s="29">
        <v>40678</v>
      </c>
      <c r="DZ4" s="29">
        <v>40705</v>
      </c>
      <c r="EA4" s="29">
        <v>40736</v>
      </c>
      <c r="EB4" s="29">
        <v>40768</v>
      </c>
      <c r="EC4" s="29">
        <v>40800</v>
      </c>
      <c r="ED4" s="29">
        <v>40831</v>
      </c>
      <c r="EE4" s="29">
        <v>40863</v>
      </c>
      <c r="EF4" s="29">
        <v>40894</v>
      </c>
      <c r="EG4" s="29">
        <v>40926</v>
      </c>
      <c r="EH4" s="29">
        <v>40958</v>
      </c>
      <c r="EI4" s="29">
        <v>40988</v>
      </c>
      <c r="EJ4" s="29">
        <v>41011</v>
      </c>
      <c r="EK4" s="29">
        <v>41042</v>
      </c>
      <c r="EL4" s="29">
        <v>41074</v>
      </c>
      <c r="EM4" s="29">
        <v>41105</v>
      </c>
      <c r="EN4" s="29">
        <v>41137</v>
      </c>
      <c r="EO4" s="29">
        <v>41169</v>
      </c>
      <c r="EP4" s="29">
        <v>41200</v>
      </c>
      <c r="EQ4" s="29">
        <v>41232</v>
      </c>
      <c r="ER4" s="29">
        <v>41263</v>
      </c>
      <c r="ES4" s="29">
        <v>41294</v>
      </c>
      <c r="ET4" s="29">
        <v>41333</v>
      </c>
      <c r="EU4" s="29">
        <v>41364</v>
      </c>
      <c r="EV4" s="29">
        <v>41394</v>
      </c>
      <c r="EW4" s="29">
        <v>41425</v>
      </c>
      <c r="EX4" s="29">
        <v>41455</v>
      </c>
      <c r="EY4" s="29">
        <v>41486</v>
      </c>
      <c r="EZ4" s="29">
        <v>41516</v>
      </c>
      <c r="FA4" s="29">
        <v>41547</v>
      </c>
      <c r="FB4" s="29">
        <v>41578</v>
      </c>
      <c r="FC4" s="29">
        <v>41607</v>
      </c>
      <c r="FD4" s="54">
        <v>41639</v>
      </c>
      <c r="FE4" s="54">
        <v>41670</v>
      </c>
      <c r="FF4" s="54">
        <v>41698</v>
      </c>
      <c r="FG4" s="54">
        <v>41729</v>
      </c>
      <c r="FH4" s="54">
        <v>41759</v>
      </c>
      <c r="FI4" s="54">
        <v>41790</v>
      </c>
      <c r="FJ4" s="54">
        <v>41820</v>
      </c>
      <c r="FK4" s="54">
        <v>41850</v>
      </c>
      <c r="FL4" s="54">
        <v>41880</v>
      </c>
      <c r="FM4" s="54">
        <v>41912</v>
      </c>
      <c r="FN4" s="54">
        <v>41943</v>
      </c>
      <c r="FO4" s="54">
        <v>41971</v>
      </c>
      <c r="FP4" s="54">
        <v>42004</v>
      </c>
      <c r="FQ4" s="54">
        <v>42035</v>
      </c>
      <c r="FR4" s="54">
        <v>42062</v>
      </c>
      <c r="FS4" s="54">
        <v>42094</v>
      </c>
      <c r="FT4" s="54">
        <v>42124</v>
      </c>
      <c r="FU4" s="54">
        <v>42153</v>
      </c>
      <c r="FV4" s="54">
        <v>42185</v>
      </c>
      <c r="FW4" s="54">
        <v>42216</v>
      </c>
      <c r="FX4" s="54">
        <v>42247</v>
      </c>
      <c r="FY4" s="54">
        <v>42277</v>
      </c>
      <c r="FZ4" s="54">
        <v>42308</v>
      </c>
      <c r="GA4" s="54">
        <v>42338</v>
      </c>
      <c r="GB4" s="54">
        <v>42369</v>
      </c>
      <c r="GC4" s="54">
        <v>42398</v>
      </c>
      <c r="GD4" s="54">
        <v>42429</v>
      </c>
      <c r="GE4" s="54">
        <v>42430</v>
      </c>
      <c r="GF4" s="54">
        <v>42461</v>
      </c>
      <c r="GG4" s="54">
        <v>42491</v>
      </c>
      <c r="GH4" s="54">
        <v>42522</v>
      </c>
      <c r="GI4" s="54">
        <v>42552</v>
      </c>
      <c r="GJ4" s="54">
        <v>42613</v>
      </c>
      <c r="GK4" s="54">
        <v>42614</v>
      </c>
      <c r="GL4" s="54">
        <v>42644</v>
      </c>
      <c r="GM4" s="54">
        <v>42675</v>
      </c>
      <c r="GN4" s="54">
        <v>42705</v>
      </c>
      <c r="GO4" s="54">
        <v>42736</v>
      </c>
      <c r="GP4" s="54">
        <v>42767</v>
      </c>
      <c r="GQ4" s="54">
        <v>42795</v>
      </c>
      <c r="GR4" s="54">
        <v>42826</v>
      </c>
      <c r="GS4" s="54">
        <v>42856</v>
      </c>
      <c r="GT4" s="54">
        <v>42887</v>
      </c>
      <c r="GU4" s="54">
        <v>42917</v>
      </c>
      <c r="GV4" s="54">
        <v>42948</v>
      </c>
      <c r="GW4" s="54">
        <v>42979</v>
      </c>
      <c r="GX4" s="54">
        <v>43009</v>
      </c>
      <c r="GY4" s="54">
        <v>43040</v>
      </c>
      <c r="GZ4" s="54">
        <v>43070</v>
      </c>
      <c r="HA4" s="54">
        <v>43101</v>
      </c>
      <c r="HB4" s="54">
        <v>43132</v>
      </c>
      <c r="HC4" s="54">
        <v>43160</v>
      </c>
      <c r="HD4" s="54">
        <v>43191</v>
      </c>
      <c r="HE4" s="54">
        <v>43222</v>
      </c>
      <c r="HF4" s="54">
        <v>43253</v>
      </c>
      <c r="HG4" s="54">
        <v>43283</v>
      </c>
      <c r="HH4" s="54">
        <v>43315</v>
      </c>
      <c r="HI4" s="54">
        <v>43347</v>
      </c>
      <c r="HJ4" s="54">
        <v>43378</v>
      </c>
      <c r="HK4" s="54">
        <v>43409</v>
      </c>
      <c r="HL4" s="54">
        <v>43440</v>
      </c>
      <c r="HM4" s="54">
        <v>43472</v>
      </c>
      <c r="HN4" s="54">
        <v>43504</v>
      </c>
      <c r="HO4" s="54">
        <v>43533</v>
      </c>
      <c r="HP4" s="54">
        <v>43565</v>
      </c>
      <c r="HQ4" s="54">
        <v>43596</v>
      </c>
      <c r="HR4" s="54">
        <v>43628</v>
      </c>
      <c r="HS4" s="54">
        <v>43659</v>
      </c>
      <c r="HT4" s="54">
        <v>43690</v>
      </c>
      <c r="HU4" s="54">
        <v>43721</v>
      </c>
      <c r="HV4" s="54">
        <v>43752</v>
      </c>
      <c r="HW4" s="54">
        <v>43784</v>
      </c>
      <c r="HX4" s="54">
        <v>43815</v>
      </c>
      <c r="HY4" s="54">
        <v>43847</v>
      </c>
      <c r="HZ4" s="54">
        <v>43879</v>
      </c>
      <c r="IA4" s="54">
        <v>43909</v>
      </c>
      <c r="IB4" s="54">
        <v>43941</v>
      </c>
      <c r="IC4" s="54">
        <v>43972</v>
      </c>
      <c r="ID4" s="54">
        <v>44004</v>
      </c>
      <c r="IE4" s="54">
        <v>44035</v>
      </c>
      <c r="IF4" s="54">
        <v>44067</v>
      </c>
      <c r="IG4" s="54">
        <v>44099</v>
      </c>
      <c r="IH4" s="54">
        <v>44130</v>
      </c>
      <c r="II4" s="54">
        <v>44162</v>
      </c>
      <c r="IJ4" s="54">
        <v>44193</v>
      </c>
      <c r="IK4" s="54">
        <v>44225</v>
      </c>
      <c r="IL4" s="54">
        <v>44254</v>
      </c>
      <c r="IM4" s="54">
        <v>44286</v>
      </c>
      <c r="IN4" s="54">
        <v>44287</v>
      </c>
      <c r="IO4" s="54">
        <v>44318</v>
      </c>
      <c r="IP4" s="54">
        <v>44350</v>
      </c>
      <c r="IQ4" s="54">
        <v>44381</v>
      </c>
      <c r="IR4" s="54">
        <v>44413</v>
      </c>
      <c r="IS4" s="54">
        <v>44445</v>
      </c>
      <c r="IT4" s="54">
        <v>44476</v>
      </c>
      <c r="IU4" s="54">
        <v>44508</v>
      </c>
      <c r="IV4" s="54">
        <v>44539</v>
      </c>
      <c r="IW4" s="54">
        <v>44571</v>
      </c>
      <c r="IX4" s="54">
        <v>44603</v>
      </c>
      <c r="IY4" s="54">
        <v>44635</v>
      </c>
      <c r="IZ4" s="54">
        <v>44667</v>
      </c>
      <c r="JA4" s="54">
        <v>44699</v>
      </c>
      <c r="JB4" s="54">
        <v>44731</v>
      </c>
      <c r="JC4" s="54">
        <v>44763</v>
      </c>
      <c r="JD4" s="54">
        <v>44795</v>
      </c>
      <c r="JE4" s="54">
        <v>44827</v>
      </c>
      <c r="JF4" s="54">
        <v>44859</v>
      </c>
      <c r="JG4" s="54">
        <v>44891</v>
      </c>
      <c r="JH4" s="54">
        <v>44922</v>
      </c>
      <c r="JI4" s="54">
        <v>44946</v>
      </c>
      <c r="JJ4" s="54">
        <v>44970</v>
      </c>
      <c r="JK4" s="54">
        <v>44986</v>
      </c>
      <c r="JL4" s="54">
        <v>45033</v>
      </c>
      <c r="JM4" s="54">
        <v>45059</v>
      </c>
      <c r="JN4" s="54">
        <v>45078</v>
      </c>
      <c r="JO4" s="54">
        <v>45127</v>
      </c>
      <c r="JP4" s="54">
        <v>45155</v>
      </c>
      <c r="JQ4" s="54">
        <v>45182</v>
      </c>
      <c r="JR4" s="54">
        <v>45209</v>
      </c>
      <c r="JS4" s="54">
        <v>45236</v>
      </c>
      <c r="JT4" s="54">
        <v>45263</v>
      </c>
      <c r="JU4" s="54">
        <v>45292</v>
      </c>
      <c r="JV4" s="54">
        <v>45324</v>
      </c>
      <c r="JW4" s="54">
        <v>45356</v>
      </c>
      <c r="JX4" s="54">
        <v>45388</v>
      </c>
      <c r="JY4" s="54">
        <v>45420</v>
      </c>
      <c r="JZ4" s="54">
        <v>45452</v>
      </c>
      <c r="KA4" s="54">
        <v>45483</v>
      </c>
      <c r="KB4" s="54">
        <v>45524</v>
      </c>
      <c r="KC4" s="54">
        <v>45555</v>
      </c>
      <c r="KD4" s="54">
        <v>45585</v>
      </c>
      <c r="KE4" s="54">
        <v>45616</v>
      </c>
      <c r="KF4" s="54">
        <v>45646</v>
      </c>
      <c r="KG4" s="54">
        <v>45658</v>
      </c>
      <c r="KH4" s="54">
        <v>45690</v>
      </c>
      <c r="KI4" s="54">
        <v>45717</v>
      </c>
      <c r="KJ4" s="54">
        <v>45768</v>
      </c>
      <c r="KK4" s="54">
        <v>45798</v>
      </c>
      <c r="KL4" s="54">
        <v>45809</v>
      </c>
      <c r="KM4" s="54">
        <v>45840</v>
      </c>
      <c r="KN4" s="54">
        <v>45870</v>
      </c>
      <c r="KO4" s="54">
        <v>45902</v>
      </c>
      <c r="KP4" s="54">
        <v>45951</v>
      </c>
      <c r="KQ4" s="54">
        <v>45986</v>
      </c>
      <c r="KR4" s="54">
        <v>46012</v>
      </c>
      <c r="KS4" s="54">
        <v>46023</v>
      </c>
    </row>
    <row r="5" spans="1:305" ht="21" customHeight="1" thickTop="1" x14ac:dyDescent="0.25">
      <c r="A5" s="23" t="s">
        <v>1</v>
      </c>
      <c r="B5" s="2"/>
      <c r="C5" s="14"/>
      <c r="D5" s="14"/>
      <c r="E5" s="14"/>
      <c r="F5" s="14"/>
      <c r="G5" s="14"/>
      <c r="H5" s="14"/>
      <c r="I5" s="70"/>
      <c r="J5" s="70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55"/>
      <c r="FE5" s="55"/>
      <c r="FF5" s="55"/>
      <c r="FG5" s="55"/>
      <c r="FH5" s="55"/>
      <c r="FI5" s="55"/>
      <c r="FJ5" s="55"/>
      <c r="FK5" s="55"/>
      <c r="FL5" s="55"/>
      <c r="FM5" s="55"/>
      <c r="FN5" s="55"/>
      <c r="FO5" s="55"/>
      <c r="FP5" s="55"/>
      <c r="FQ5" s="55"/>
      <c r="FR5" s="55"/>
      <c r="FS5" s="55"/>
      <c r="FT5" s="55"/>
      <c r="FU5" s="55"/>
      <c r="FV5" s="55"/>
      <c r="FW5" s="55"/>
      <c r="FX5" s="55"/>
      <c r="FY5" s="55"/>
      <c r="FZ5" s="55"/>
      <c r="GA5" s="55"/>
      <c r="GB5" s="55"/>
      <c r="GC5" s="55"/>
      <c r="GD5" s="55"/>
      <c r="GE5" s="55"/>
      <c r="GF5" s="55"/>
      <c r="GG5" s="55"/>
      <c r="GH5" s="55"/>
      <c r="GI5" s="55"/>
      <c r="GJ5" s="55"/>
      <c r="GK5" s="55"/>
      <c r="GL5" s="55"/>
      <c r="GM5" s="55"/>
      <c r="GN5" s="55"/>
      <c r="GO5" s="55"/>
      <c r="GP5" s="55"/>
      <c r="GQ5" s="55"/>
      <c r="GR5" s="55"/>
      <c r="GS5" s="55"/>
      <c r="GT5" s="55"/>
      <c r="GU5" s="55"/>
      <c r="GV5" s="55"/>
      <c r="GW5" s="55"/>
      <c r="GX5" s="55"/>
      <c r="GY5" s="55"/>
      <c r="GZ5" s="55"/>
      <c r="HA5" s="55"/>
      <c r="HB5" s="55"/>
      <c r="HC5" s="55"/>
      <c r="HD5" s="55"/>
      <c r="HE5" s="55"/>
      <c r="HF5" s="55"/>
      <c r="HG5" s="55"/>
      <c r="HH5" s="55"/>
      <c r="HI5" s="55"/>
      <c r="HJ5" s="55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87"/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  <c r="IR5" s="87"/>
      <c r="IS5" s="87"/>
      <c r="IT5" s="87"/>
      <c r="IU5" s="87"/>
      <c r="IV5" s="87"/>
      <c r="IW5" s="87"/>
      <c r="IX5" s="87"/>
      <c r="IY5" s="87"/>
      <c r="IZ5" s="87"/>
      <c r="JA5" s="87"/>
      <c r="JB5" s="87"/>
      <c r="JC5" s="87"/>
      <c r="JD5" s="87"/>
      <c r="JE5" s="87"/>
      <c r="JF5" s="87"/>
      <c r="JG5" s="87"/>
      <c r="JH5" s="87"/>
      <c r="JI5" s="87"/>
      <c r="JJ5" s="87"/>
      <c r="JK5" s="87"/>
      <c r="JL5" s="87"/>
      <c r="JM5" s="87"/>
      <c r="JN5" s="87"/>
      <c r="JO5" s="87"/>
      <c r="JP5" s="87"/>
      <c r="JQ5" s="87"/>
      <c r="JR5" s="87"/>
      <c r="JS5" s="87"/>
      <c r="JT5" s="87"/>
      <c r="JU5" s="87"/>
      <c r="JV5" s="87"/>
      <c r="JW5" s="87"/>
      <c r="JX5" s="87"/>
      <c r="JY5" s="87"/>
      <c r="JZ5" s="87"/>
      <c r="KA5" s="87"/>
      <c r="KB5" s="87"/>
      <c r="KC5" s="87"/>
      <c r="KD5" s="87"/>
      <c r="KE5" s="87"/>
      <c r="KF5" s="87"/>
      <c r="KG5" s="87"/>
      <c r="KH5" s="87"/>
      <c r="KI5" s="87"/>
      <c r="KJ5" s="87"/>
      <c r="KK5" s="87"/>
      <c r="KL5" s="87"/>
      <c r="KM5" s="87"/>
      <c r="KN5" s="87"/>
      <c r="KO5" s="87"/>
      <c r="KP5" s="87"/>
      <c r="KQ5" s="87"/>
      <c r="KR5" s="87"/>
      <c r="KS5" s="87"/>
    </row>
    <row r="6" spans="1:305" ht="23.25" customHeight="1" x14ac:dyDescent="0.2">
      <c r="A6" s="21" t="s">
        <v>2</v>
      </c>
      <c r="B6" s="3" t="s">
        <v>16</v>
      </c>
      <c r="C6" s="71">
        <v>1.54</v>
      </c>
      <c r="D6" s="9">
        <v>1.79</v>
      </c>
      <c r="E6" s="9">
        <f>1/0.5462</f>
        <v>1.8308311973636031</v>
      </c>
      <c r="F6" s="9">
        <f>1/0.5233</f>
        <v>1.9109497420217849</v>
      </c>
      <c r="G6" s="9">
        <f>1/0.4913</f>
        <v>2.0354162426216162</v>
      </c>
      <c r="H6" s="9">
        <f>1/0.5084</f>
        <v>1.966955153422502</v>
      </c>
      <c r="I6" s="9">
        <v>1.95</v>
      </c>
      <c r="J6" s="9">
        <v>1.94</v>
      </c>
      <c r="K6" s="9">
        <v>1.99</v>
      </c>
      <c r="L6" s="9">
        <v>1.87</v>
      </c>
      <c r="M6" s="9">
        <v>2.0499999999999998</v>
      </c>
      <c r="N6" s="9">
        <v>2</v>
      </c>
      <c r="O6" s="9">
        <f>1/0.5188</f>
        <v>1.9275250578257517</v>
      </c>
      <c r="P6" s="9">
        <f>1/0.5105</f>
        <v>1.9588638589618024</v>
      </c>
      <c r="Q6" s="9">
        <f>1/0.5062</f>
        <v>1.9755037534571316</v>
      </c>
      <c r="R6" s="9">
        <f>1/0.5159</f>
        <v>1.9383601473153711</v>
      </c>
      <c r="S6" s="9">
        <f>1/0.5325</f>
        <v>1.8779342723004695</v>
      </c>
      <c r="T6" s="9">
        <f>1/0.5445</f>
        <v>1.8365472910927456</v>
      </c>
      <c r="U6" s="9">
        <f>1/0.5649</f>
        <v>1.7702248185519562</v>
      </c>
      <c r="V6" s="9">
        <f>1/0.5645</f>
        <v>1.7714791851195748</v>
      </c>
      <c r="W6" s="9">
        <f>1/0.5447</f>
        <v>1.8358729575913348</v>
      </c>
      <c r="X6" s="9">
        <f>1/0.552</f>
        <v>1.8115942028985506</v>
      </c>
      <c r="Y6" s="9">
        <f>1/0.5435</f>
        <v>1.8399264029438822</v>
      </c>
      <c r="Z6" s="9">
        <f>1/0.5586</f>
        <v>1.7901897601145722</v>
      </c>
      <c r="AA6" s="9">
        <f>1/0.5608</f>
        <v>1.783166904422254</v>
      </c>
      <c r="AB6" s="9">
        <f>1/0.562</f>
        <v>1.779359430604982</v>
      </c>
      <c r="AC6" s="9">
        <v>1.7060999999999999</v>
      </c>
      <c r="AD6" s="9">
        <f>1/0.6049</f>
        <v>1.6531658125309969</v>
      </c>
      <c r="AE6" s="9">
        <f>1/0.6011</f>
        <v>1.6636167027116953</v>
      </c>
      <c r="AF6" s="9">
        <f>1/0.6235</f>
        <v>1.6038492381716116</v>
      </c>
      <c r="AG6" s="9">
        <f>1/0.6531</f>
        <v>1.5311590874291838</v>
      </c>
      <c r="AH6" s="9">
        <f>1/0.6659</f>
        <v>1.5017269860339388</v>
      </c>
      <c r="AI6" s="9">
        <f>1/0.6529</f>
        <v>1.5316281206922959</v>
      </c>
      <c r="AJ6" s="9">
        <f>1/0.64</f>
        <v>1.5625</v>
      </c>
      <c r="AK6" s="9">
        <f>1/0.6772</f>
        <v>1.4766686355581806</v>
      </c>
      <c r="AL6" s="9">
        <f>1/0.7064</f>
        <v>1.4156285390713477</v>
      </c>
      <c r="AM6" s="9">
        <f>1/0.721</f>
        <v>1.3869625520110958</v>
      </c>
      <c r="AN6" s="9">
        <f>1/0.7484</f>
        <v>1.3361838588989845</v>
      </c>
      <c r="AO6" s="9">
        <f>1/0.7614</f>
        <v>1.3133701076963489</v>
      </c>
      <c r="AP6" s="9">
        <f>1/0.771</f>
        <v>1.2970168612191959</v>
      </c>
      <c r="AQ6" s="9">
        <f>1/0.7546</f>
        <v>1.3252054068380599</v>
      </c>
      <c r="AR6" s="9">
        <f>1/0.7192</f>
        <v>1.3904338153503895</v>
      </c>
      <c r="AS6" s="9">
        <f>1/0.7133</f>
        <v>1.4019346698443851</v>
      </c>
      <c r="AT6" s="9">
        <f>1/0.6895</f>
        <v>1.4503263234227701</v>
      </c>
      <c r="AU6" s="9">
        <f>1/0.6983</f>
        <v>1.4320492624946297</v>
      </c>
      <c r="AV6" s="9">
        <f>1/0.7</f>
        <v>1.4285714285714286</v>
      </c>
      <c r="AW6" s="9">
        <f>1/0.7165</f>
        <v>1.3956734124214933</v>
      </c>
      <c r="AX6" s="9">
        <f>1/0.7165</f>
        <v>1.3956734124214933</v>
      </c>
      <c r="AY6" s="9">
        <f>1/0.7806</f>
        <v>1.2810658467845248</v>
      </c>
      <c r="AZ6" s="9">
        <f>1/0.7652</f>
        <v>1.3068478829064296</v>
      </c>
      <c r="BA6" s="9">
        <f>1/0.7748</f>
        <v>1.2906556530717603</v>
      </c>
      <c r="BB6" s="9">
        <f>1/0.7721</f>
        <v>1.2951690195570522</v>
      </c>
      <c r="BC6" s="9">
        <f>1/0.7714</f>
        <v>1.2963443090484834</v>
      </c>
      <c r="BD6" s="9">
        <f>1/0.7773</f>
        <v>1.2865045670912132</v>
      </c>
      <c r="BE6" s="9">
        <f>1/0.759</f>
        <v>1.3175230566534915</v>
      </c>
      <c r="BF6" s="9">
        <f>1/0.7635</f>
        <v>1.3097576948264571</v>
      </c>
      <c r="BG6" s="9">
        <f>1/0.7562</f>
        <v>1.3224014810896589</v>
      </c>
      <c r="BH6" s="9">
        <f>1/0.747</f>
        <v>1.3386880856760375</v>
      </c>
      <c r="BI6" s="9">
        <f>1/0.76</f>
        <v>1.3157894736842106</v>
      </c>
      <c r="BJ6" s="9">
        <f>1/0.7567</f>
        <v>1.3215276860050218</v>
      </c>
      <c r="BK6" s="9">
        <f>1/0.7375</f>
        <v>1.3559322033898304</v>
      </c>
      <c r="BL6" s="9">
        <f>1/0.7315</f>
        <v>1.367053998632946</v>
      </c>
      <c r="BM6" s="9">
        <f>1/0.7489</f>
        <v>1.3352917612498332</v>
      </c>
      <c r="BN6" s="9">
        <f>1/0.7377</f>
        <v>1.3555645926528399</v>
      </c>
      <c r="BO6" s="9">
        <f>1/0.7148</f>
        <v>1.3989927252378287</v>
      </c>
      <c r="BP6" s="9">
        <f>1/0.7561</f>
        <v>1.3225763787858749</v>
      </c>
      <c r="BQ6" s="9">
        <f>1/0.7611</f>
        <v>1.3138877939823939</v>
      </c>
      <c r="BR6" s="9">
        <f>1/0.739</f>
        <v>1.3531799729364005</v>
      </c>
      <c r="BS6" s="9">
        <f>1/0.7654</f>
        <v>1.3065064018813692</v>
      </c>
      <c r="BT6" s="9">
        <f>1/0.763</f>
        <v>1.310615989515072</v>
      </c>
      <c r="BU6" s="9">
        <f>1/0.751</f>
        <v>1.3315579227696406</v>
      </c>
      <c r="BV6" s="9">
        <f>1/0.7638</f>
        <v>1.3092432573972244</v>
      </c>
      <c r="BW6" s="9">
        <f>1/0.7831</f>
        <v>1.2769761205465457</v>
      </c>
      <c r="BX6" s="9">
        <f>1/0.7904</f>
        <v>1.2651821862348178</v>
      </c>
      <c r="BY6" s="9">
        <f>1/0.7719</f>
        <v>1.2955045990413265</v>
      </c>
      <c r="BZ6" s="9">
        <v>1.2708095056551023</v>
      </c>
      <c r="CA6" s="9">
        <f>1/0.8078</f>
        <v>1.2379301807378065</v>
      </c>
      <c r="CB6" s="9">
        <f>1/0.8264</f>
        <v>1.2100677637947725</v>
      </c>
      <c r="CC6" s="9">
        <f>1/0.8226</f>
        <v>1.2156576707999027</v>
      </c>
      <c r="CD6" s="9">
        <f>1/0.8474</f>
        <v>1.180080245456691</v>
      </c>
      <c r="CE6" s="9">
        <f>1/0.8601</f>
        <v>1.162655505173817</v>
      </c>
      <c r="CF6" s="9">
        <f>1/0.8162</f>
        <v>1.2251899044351875</v>
      </c>
      <c r="CG6" s="9">
        <f>1/0.881</f>
        <v>1.1350737797956867</v>
      </c>
      <c r="CH6" s="9">
        <f>1/0.9217</f>
        <v>1.0849517196484757</v>
      </c>
      <c r="CI6" s="9">
        <f>1/0.8853</f>
        <v>1.1295606009262398</v>
      </c>
      <c r="CJ6" s="9">
        <f>1/0.8797</f>
        <v>1.1367511651699442</v>
      </c>
      <c r="CK6" s="9">
        <f>1/0.8901</f>
        <v>1.1234692731153804</v>
      </c>
      <c r="CL6" s="9">
        <f>1/0.9454</f>
        <v>1.0577533319229955</v>
      </c>
      <c r="CM6" s="9">
        <f>1/0.9146</f>
        <v>1.0933741526350318</v>
      </c>
      <c r="CN6" s="9">
        <f>1/0.9323</f>
        <v>1.0726161106939827</v>
      </c>
      <c r="CO6" s="9">
        <v>1.0462</v>
      </c>
      <c r="CP6" s="9">
        <f>1/0.9624</f>
        <v>1.0390689941812137</v>
      </c>
      <c r="CQ6" s="9">
        <f>1/0.9438</f>
        <v>1.0595465140919686</v>
      </c>
      <c r="CR6" s="9">
        <f>1/0.8626</f>
        <v>1.1592858798979828</v>
      </c>
      <c r="CS6" s="9">
        <f>1/0.8367</f>
        <v>1.1951715071112705</v>
      </c>
      <c r="CT6" s="9">
        <f>1/0.676</f>
        <v>1.4792899408284024</v>
      </c>
      <c r="CU6" s="9">
        <f>1/0.6556</f>
        <v>1.5253203172666261</v>
      </c>
      <c r="CV6" s="9">
        <f>1/0.6905</f>
        <v>1.448225923244026</v>
      </c>
      <c r="CW6" s="9">
        <f>1/0.6482</f>
        <v>1.5427337241592101</v>
      </c>
      <c r="CX6" s="9">
        <f>1/0.6449</f>
        <v>1.5506280043417584</v>
      </c>
      <c r="CY6" s="9">
        <f>1/0.6808</f>
        <v>1.4688601645123385</v>
      </c>
      <c r="CZ6" s="9">
        <f>1/0.7254</f>
        <v>1.3785497656465397</v>
      </c>
      <c r="DA6" s="9">
        <f>1/0.7858</f>
        <v>1.2725884448969202</v>
      </c>
      <c r="DB6" s="9">
        <f>1/0.8103</f>
        <v>1.2341108231519191</v>
      </c>
      <c r="DC6" s="9">
        <f>1/0.8268</f>
        <v>1.2094823415578133</v>
      </c>
      <c r="DD6" s="9">
        <f>1/0.8429</f>
        <v>1.1863803535413453</v>
      </c>
      <c r="DE6" s="9">
        <f>1/0.8746</f>
        <v>1.1433798307797849</v>
      </c>
      <c r="DF6" s="9">
        <f>1/0.9143</f>
        <v>1.0937329104232747</v>
      </c>
      <c r="DG6" s="9">
        <f>1/0.9125</f>
        <v>1.095890410958904</v>
      </c>
      <c r="DH6" s="9">
        <f>1/0.8971</f>
        <v>1.1147029316687103</v>
      </c>
      <c r="DI6" s="9">
        <f>1/0.8913</f>
        <v>1.1219566924716706</v>
      </c>
      <c r="DJ6" s="9">
        <f>1/0.8868</f>
        <v>1.1276499774470004</v>
      </c>
      <c r="DK6" s="9">
        <f>1/0.9202</f>
        <v>1.0867202782003913</v>
      </c>
      <c r="DL6" s="9">
        <f>1/0.9261</f>
        <v>1.0797969981643452</v>
      </c>
      <c r="DM6" s="9">
        <f>1/0.8458</f>
        <v>1.1823126034523528</v>
      </c>
      <c r="DN6" s="9">
        <f>1/0.849</f>
        <v>1.1778563015312131</v>
      </c>
      <c r="DO6" s="9">
        <f>1/0.8994</f>
        <v>1.1118523460084502</v>
      </c>
      <c r="DP6" s="9">
        <f>1/0.8911</f>
        <v>1.1222085063404781</v>
      </c>
      <c r="DQ6" s="9">
        <f>1/0.9692</f>
        <v>1.0317787866281469</v>
      </c>
      <c r="DR6" s="9">
        <f>1/0.9736</f>
        <v>1.0271158586688578</v>
      </c>
      <c r="DS6" s="9">
        <f>1/0.9618</f>
        <v>1.039717196922437</v>
      </c>
      <c r="DT6" s="9">
        <f>1/1.0156</f>
        <v>0.98463962189838516</v>
      </c>
      <c r="DU6" s="9">
        <f>1/0.988</f>
        <v>1.0121457489878543</v>
      </c>
      <c r="DV6" s="9">
        <f>1/1.0137</f>
        <v>0.98648515339844134</v>
      </c>
      <c r="DW6" s="9">
        <f>1/1.0313</f>
        <v>0.96964995636575191</v>
      </c>
      <c r="DX6" s="9">
        <f>1/1.0935</f>
        <v>0.91449474165523559</v>
      </c>
      <c r="DY6" s="9">
        <f>1/1.0717</f>
        <v>0.93309694877297744</v>
      </c>
      <c r="DZ6" s="9">
        <f>1/1.0706</f>
        <v>0.9340556697179152</v>
      </c>
      <c r="EA6" s="9">
        <f>1/1.099</f>
        <v>0.90991810737033674</v>
      </c>
      <c r="EB6" s="9">
        <f>1/1.0674</f>
        <v>0.93685591156080206</v>
      </c>
      <c r="EC6" s="9">
        <f>1/0.9803</f>
        <v>1.0200958890135674</v>
      </c>
      <c r="ED6" s="9">
        <f>1/1.0701</f>
        <v>0.93449210354172507</v>
      </c>
      <c r="EE6" s="9">
        <f>1/1.003</f>
        <v>0.99700897308075787</v>
      </c>
      <c r="EF6" s="9">
        <f>1/1.0146</f>
        <v>0.98561009264734878</v>
      </c>
      <c r="EG6" s="9">
        <f>1/1.0584</f>
        <v>0.94482237339380193</v>
      </c>
      <c r="EH6" s="9">
        <f>1/1.0795</f>
        <v>0.92635479388605846</v>
      </c>
      <c r="EI6" s="9">
        <f>1/1.0375</f>
        <v>0.96385542168674687</v>
      </c>
      <c r="EJ6" s="9">
        <f>1/1.0446</f>
        <v>0.95730423128470232</v>
      </c>
      <c r="EK6" s="9">
        <f>1/1.09681</f>
        <v>0.91173494041812164</v>
      </c>
      <c r="EL6" s="9">
        <f>1/1.0025</f>
        <v>0.99750623441396513</v>
      </c>
      <c r="EM6" s="9">
        <f>1/1.0497</f>
        <v>0.95265313899209292</v>
      </c>
      <c r="EN6" s="9">
        <f>1/1.0288</f>
        <v>0.97200622083981347</v>
      </c>
      <c r="EO6" s="9">
        <f>1/1.0436</f>
        <v>0.95822154082023758</v>
      </c>
      <c r="EP6" s="9">
        <f>1/1.0335</f>
        <v>0.96758587324625056</v>
      </c>
      <c r="EQ6" s="9">
        <f>1/1.0428</f>
        <v>0.95895665515918682</v>
      </c>
      <c r="ER6" s="9">
        <f>1/1.0389</f>
        <v>0.96255655019732411</v>
      </c>
      <c r="ES6" s="9">
        <f>1/1.0416</f>
        <v>0.96006144393241155</v>
      </c>
      <c r="ET6" s="9">
        <f>1/1.0232</f>
        <v>0.97732603596559797</v>
      </c>
      <c r="EU6" s="46">
        <f>1/1.0415</f>
        <v>0.9601536245799327</v>
      </c>
      <c r="EV6" s="46">
        <f>1/1.0341</f>
        <v>0.96702446571898271</v>
      </c>
      <c r="EW6" s="46">
        <f>1/0.9668</f>
        <v>1.034340091021928</v>
      </c>
      <c r="EX6" s="46">
        <f>1/0.9262</f>
        <v>1.0796804145972791</v>
      </c>
      <c r="EY6" s="46">
        <f>1/0.9063</f>
        <v>1.1033873993158998</v>
      </c>
      <c r="EZ6" s="46">
        <f>1/0.892</f>
        <v>1.1210762331838564</v>
      </c>
      <c r="FA6" s="46">
        <f>1/0.929</f>
        <v>1.0764262648008611</v>
      </c>
      <c r="FB6" s="46">
        <f>1/0.9469</f>
        <v>1.0560777273207309</v>
      </c>
      <c r="FC6" s="46">
        <f>1/0.9082</f>
        <v>1.1010790574763267</v>
      </c>
      <c r="FD6" s="56">
        <f>1/0.8921</f>
        <v>1.1209505660800358</v>
      </c>
      <c r="FE6" s="56">
        <f>1/0.8793</f>
        <v>1.1372682815876265</v>
      </c>
      <c r="FF6" s="56">
        <f>1/0.8965</f>
        <v>1.1154489682097044</v>
      </c>
      <c r="FG6" s="56">
        <f>1/0.9237</f>
        <v>1.0826025765941323</v>
      </c>
      <c r="FH6" s="56">
        <f>1/0.9276</f>
        <v>1.0780508840017249</v>
      </c>
      <c r="FI6" s="56">
        <f>1/0.9302</f>
        <v>1.075037626316921</v>
      </c>
      <c r="FJ6" s="56">
        <f>1/0.9421</f>
        <v>1.0614584439019212</v>
      </c>
      <c r="FK6" s="56">
        <f>1/0.9323</f>
        <v>1.0726161106939827</v>
      </c>
      <c r="FL6" s="56">
        <f>1/0.9355</f>
        <v>1.0689470871191875</v>
      </c>
      <c r="FM6" s="56">
        <f>1/0.871</f>
        <v>1.1481056257175659</v>
      </c>
      <c r="FN6" s="56">
        <f>1/0.8823</f>
        <v>1.1334013374135783</v>
      </c>
      <c r="FO6" s="56">
        <f>1/0.852</f>
        <v>1.1737089201877935</v>
      </c>
      <c r="FP6" s="56">
        <f>1/0.8123</f>
        <v>1.2310722639418934</v>
      </c>
      <c r="FQ6" s="56">
        <f>1/0.778</f>
        <v>1.2853470437017995</v>
      </c>
      <c r="FR6" s="56">
        <f>1/0.7811</f>
        <v>1.2802458071949814</v>
      </c>
      <c r="FS6" s="56">
        <f>1/0.7659</f>
        <v>1.3056534795665231</v>
      </c>
      <c r="FT6" s="56">
        <f>1/0.7997</f>
        <v>1.2504689258471928</v>
      </c>
      <c r="FU6" s="56">
        <f>1/0.7655</f>
        <v>1.3063357282821686</v>
      </c>
      <c r="FV6" s="56">
        <f>1/0.7676</f>
        <v>1.3027618551328819</v>
      </c>
      <c r="FW6" s="56">
        <f>1/0.7294</f>
        <v>1.3709898546750754</v>
      </c>
      <c r="FX6" s="56">
        <f>1/0.7144</f>
        <v>1.3997760358342664</v>
      </c>
      <c r="FY6" s="56">
        <f>1/0.7007</f>
        <v>1.4271442842871414</v>
      </c>
      <c r="FZ6" s="56">
        <f>1/0.71</f>
        <v>1.4084507042253522</v>
      </c>
      <c r="GA6" s="56">
        <f>1/0.7183</f>
        <v>1.3921759710427397</v>
      </c>
      <c r="GB6" s="56">
        <f>1/0.7283</f>
        <v>1.373060551970342</v>
      </c>
      <c r="GC6" s="56">
        <f>1/0.7076</f>
        <v>1.4132278123233466</v>
      </c>
      <c r="GD6" s="56">
        <f>1/0.7112</f>
        <v>1.4060742407199098</v>
      </c>
      <c r="GE6" s="56">
        <f>1/0.7663</f>
        <v>1.3049719431032234</v>
      </c>
      <c r="GF6" s="56">
        <f>1/0.7633</f>
        <v>1.3101008777675882</v>
      </c>
      <c r="GG6" s="56">
        <f>1/0.7198</f>
        <v>1.3892747985551541</v>
      </c>
      <c r="GH6" s="56">
        <f>1/0.7463</f>
        <v>1.3399437223636608</v>
      </c>
      <c r="GI6" s="56">
        <f>1/0.751</f>
        <v>1.3315579227696406</v>
      </c>
      <c r="GJ6" s="56">
        <f>1/0.7521</f>
        <v>1.3296104241457254</v>
      </c>
      <c r="GK6" s="56">
        <f>1/0.7691</f>
        <v>1.3002210375763881</v>
      </c>
      <c r="GL6" s="56">
        <f>1/0.7587</f>
        <v>1.3180440226703571</v>
      </c>
      <c r="GM6" s="56">
        <f>1/0.7489</f>
        <v>1.3352917612498332</v>
      </c>
      <c r="GN6" s="56">
        <f>1/0.7235</f>
        <v>1.38217000691085</v>
      </c>
      <c r="GO6" s="56">
        <f>1/0.7561</f>
        <v>1.3225763787858749</v>
      </c>
      <c r="GP6" s="56">
        <f>1/0.7674</f>
        <v>1.3031013812874641</v>
      </c>
      <c r="GQ6" s="56">
        <f>1/0.7643</f>
        <v>1.3083867591259977</v>
      </c>
      <c r="GR6" s="56">
        <f>1/0.7466</f>
        <v>1.339405304045004</v>
      </c>
      <c r="GS6" s="56">
        <f>1/0.7465</f>
        <v>1.3395847287340923</v>
      </c>
      <c r="GT6" s="56">
        <f>1/0.7693</f>
        <v>1.2998830105290524</v>
      </c>
      <c r="GU6" s="56">
        <f>1/0.7973</f>
        <v>1.2542330364981813</v>
      </c>
      <c r="GV6" s="56">
        <f>1/0.7904</f>
        <v>1.2651821862348178</v>
      </c>
      <c r="GW6" s="56">
        <f>1/0.7847</f>
        <v>1.2743723716069837</v>
      </c>
      <c r="GX6" s="56">
        <f>1/0.7692</f>
        <v>1.3000520020800832</v>
      </c>
      <c r="GY6" s="56">
        <f>1/0.7567</f>
        <v>1.3215276860050218</v>
      </c>
      <c r="GZ6" s="56">
        <f>1/0.7795</f>
        <v>1.2828736369467608</v>
      </c>
      <c r="HA6" s="56">
        <f>1/0.8099</f>
        <v>1.2347203358439314</v>
      </c>
      <c r="HB6" s="56">
        <f>1/0.7792</f>
        <v>1.2833675564681726</v>
      </c>
      <c r="HC6" s="56">
        <f>1/0.7685</f>
        <v>1.3012361743656475</v>
      </c>
      <c r="HD6" s="56">
        <f>1/0.7573</f>
        <v>1.3204806549584049</v>
      </c>
      <c r="HE6" s="56">
        <f>1/0.757</f>
        <v>1.321003963011889</v>
      </c>
      <c r="HF6" s="56">
        <f>1/0.7348</f>
        <v>1.3609145345672291</v>
      </c>
      <c r="HG6" s="56">
        <f>1/0.7411</f>
        <v>1.3493455673998112</v>
      </c>
      <c r="HH6" s="56">
        <f>1/0.7257</f>
        <v>1.3779798814937301</v>
      </c>
      <c r="HI6" s="56">
        <f>1/0.7205</f>
        <v>1.3879250520471893</v>
      </c>
      <c r="HJ6" s="56">
        <f>1/0.7103</f>
        <v>1.4078558355624384</v>
      </c>
      <c r="HK6" s="88">
        <v>1.3661202185792349</v>
      </c>
      <c r="HL6" s="88">
        <v>1.4186409419775856</v>
      </c>
      <c r="HM6" s="88">
        <v>1.3768415255404105</v>
      </c>
      <c r="HN6" s="88">
        <v>1.3970382788488405</v>
      </c>
      <c r="HO6" s="88">
        <v>1.4114326040931544</v>
      </c>
      <c r="HP6" s="88">
        <v>1.4176353841791891</v>
      </c>
      <c r="HQ6" s="88">
        <v>1.448225923244026</v>
      </c>
      <c r="HR6" s="88">
        <v>1.4271442842871414</v>
      </c>
      <c r="HS6" s="88">
        <v>1.4551804423748544</v>
      </c>
      <c r="HT6" s="88">
        <v>1.485001485001485</v>
      </c>
      <c r="HU6" s="88">
        <v>1.4788524105294292</v>
      </c>
      <c r="HV6" s="88">
        <v>1.4486455164421266</v>
      </c>
      <c r="HW6" s="88">
        <v>1.4773230905599055</v>
      </c>
      <c r="HX6" s="88">
        <v>1.4283673760891302</v>
      </c>
      <c r="HY6" s="88">
        <v>1.4900908955446281</v>
      </c>
      <c r="HZ6" s="88">
        <v>1.519756838905775</v>
      </c>
      <c r="IA6" s="88">
        <v>1.6196954972465178</v>
      </c>
      <c r="IB6" s="88">
        <v>1.5269506794930523</v>
      </c>
      <c r="IC6" s="88">
        <v>1.5085231558304419</v>
      </c>
      <c r="ID6" s="88">
        <v>1.4549687181725592</v>
      </c>
      <c r="IE6" s="88">
        <v>1.3883104262113009</v>
      </c>
      <c r="IF6" s="88">
        <v>1.3590649633052461</v>
      </c>
      <c r="IG6" s="88">
        <v>1.3993842709207949</v>
      </c>
      <c r="IH6" s="88">
        <v>1.404494382022472</v>
      </c>
      <c r="II6" s="88">
        <v>1.3513513513513513</v>
      </c>
      <c r="IJ6" s="88">
        <v>1.2988699831146902</v>
      </c>
      <c r="IK6" s="88">
        <v>1.3034410844629822</v>
      </c>
      <c r="IL6" s="88">
        <v>1.2750223128904756</v>
      </c>
      <c r="IM6" s="88">
        <v>1.3144058885383807</v>
      </c>
      <c r="IN6" s="88">
        <v>1.2817226352217379</v>
      </c>
      <c r="IO6" s="88">
        <v>1.2983640612827838</v>
      </c>
      <c r="IP6" s="88">
        <v>1.3301409949454641</v>
      </c>
      <c r="IQ6" s="88">
        <v>1.35189941868325</v>
      </c>
      <c r="IR6" s="88">
        <v>1.3713658804168953</v>
      </c>
      <c r="IS6" s="88">
        <v>1.3910140492418974</v>
      </c>
      <c r="IT6" s="88">
        <v>1.3324450366422387</v>
      </c>
      <c r="IU6" s="88">
        <v>1.3999720005599887</v>
      </c>
      <c r="IV6" s="88">
        <v>1.379690949227373</v>
      </c>
      <c r="IW6" s="88">
        <v>1.4289797084881395</v>
      </c>
      <c r="IX6" s="88">
        <v>1.3917884481558802</v>
      </c>
      <c r="IY6" s="88">
        <v>1.332267519317879</v>
      </c>
      <c r="IZ6" s="88">
        <v>1.4039028499227852</v>
      </c>
      <c r="JA6" s="88">
        <v>1.3900472616068946</v>
      </c>
      <c r="JB6" s="88">
        <v>1.4543339150668995</v>
      </c>
      <c r="JC6" s="88">
        <v>1.4291839359725598</v>
      </c>
      <c r="JD6" s="88">
        <v>1.4587892049598834</v>
      </c>
      <c r="JE6" s="88">
        <v>1.5358623867301489</v>
      </c>
      <c r="JF6" s="88">
        <v>1.5603058199407083</v>
      </c>
      <c r="JG6" s="88">
        <v>1.4985763524651581</v>
      </c>
      <c r="JH6" s="88">
        <v>1.4725371815638344</v>
      </c>
      <c r="JI6" s="88">
        <v>1.4267370523612499</v>
      </c>
      <c r="JJ6" s="88">
        <v>1.4907573047107932</v>
      </c>
      <c r="JK6" s="88">
        <v>1.4954389113204727</v>
      </c>
      <c r="JL6" s="88">
        <v>1.519756838905775</v>
      </c>
      <c r="JM6" s="88">
        <v>1.5441630636195183</v>
      </c>
      <c r="JN6" s="88">
        <v>1.5110305228165608</v>
      </c>
      <c r="JO6" s="88">
        <v>1.4940983116689077</v>
      </c>
      <c r="JP6" s="88">
        <v>1.5446400988569664</v>
      </c>
      <c r="JQ6" s="88">
        <v>1.5424957581366652</v>
      </c>
      <c r="JR6" s="88">
        <v>1.5710919088766695</v>
      </c>
      <c r="JS6" s="88">
        <v>1.5094339622641511</v>
      </c>
      <c r="JT6" s="88">
        <v>1.4652014652014651</v>
      </c>
      <c r="JU6" s="88">
        <v>1.5190642564180465</v>
      </c>
      <c r="JV6" s="88">
        <v>1.5368065160596283</v>
      </c>
      <c r="JW6" s="88">
        <v>1.5363343063450605</v>
      </c>
      <c r="JX6" s="88">
        <v>1.5323322096230463</v>
      </c>
      <c r="JY6" s="88">
        <v>1.505797319680771</v>
      </c>
      <c r="JZ6" s="88">
        <v>1.5069318866787222</v>
      </c>
      <c r="KA6" s="88">
        <v>1.5401201293700908</v>
      </c>
      <c r="KB6" s="88">
        <v>1.4697236919459142</v>
      </c>
      <c r="KC6" s="88">
        <v>1.4436263894904</v>
      </c>
      <c r="KD6" s="88">
        <v>1.5216068167985393</v>
      </c>
      <c r="KE6" s="88">
        <v>1.5363343063450605</v>
      </c>
      <c r="KF6" s="88">
        <v>1.6090104585679805</v>
      </c>
      <c r="KG6" s="88">
        <v>1.6059097478721696</v>
      </c>
      <c r="KH6" s="88">
        <v>1.6084928422068521</v>
      </c>
      <c r="KI6" s="88">
        <v>1.5971889474524836</v>
      </c>
      <c r="KJ6" s="88">
        <v>1.5654351909830932</v>
      </c>
      <c r="KK6" s="88">
        <v>1.5583606046439145</v>
      </c>
      <c r="KL6" s="88">
        <v>1.529753709652746</v>
      </c>
      <c r="KM6" s="88">
        <v>1.5494267121165171</v>
      </c>
      <c r="KN6" s="88">
        <v>1.5295197308045272</v>
      </c>
      <c r="KO6" s="88">
        <v>1.51285930408472</v>
      </c>
      <c r="KP6" s="88">
        <v>1.5288182235132242</v>
      </c>
      <c r="KQ6" s="88">
        <v>1.5335071308081583</v>
      </c>
      <c r="KR6" s="88">
        <v>1.4963339817447254</v>
      </c>
      <c r="KS6" s="88">
        <v>1.4267370523612499</v>
      </c>
    </row>
    <row r="7" spans="1:305" ht="23.25" customHeight="1" x14ac:dyDescent="0.2">
      <c r="A7" s="21" t="s">
        <v>3</v>
      </c>
      <c r="B7" s="15" t="s">
        <v>29</v>
      </c>
      <c r="C7" s="40">
        <v>7.77</v>
      </c>
      <c r="D7" s="12">
        <v>7.798</v>
      </c>
      <c r="E7" s="8">
        <v>7.7995000000000001</v>
      </c>
      <c r="F7" s="8">
        <v>7.7995000000000001</v>
      </c>
      <c r="G7" s="12">
        <v>7.7991999999999999</v>
      </c>
      <c r="H7" s="12">
        <v>7.7990000000000004</v>
      </c>
      <c r="I7" s="10">
        <v>7.8</v>
      </c>
      <c r="J7" s="10">
        <v>7.8</v>
      </c>
      <c r="K7" s="10">
        <v>7.8</v>
      </c>
      <c r="L7" s="10">
        <v>7.8</v>
      </c>
      <c r="M7" s="10">
        <v>7.8</v>
      </c>
      <c r="N7" s="12">
        <v>7.7996999999999996</v>
      </c>
      <c r="O7" s="12">
        <v>7.7988</v>
      </c>
      <c r="P7" s="16">
        <v>7.7975000000000003</v>
      </c>
      <c r="Q7" s="16">
        <v>7.7988</v>
      </c>
      <c r="R7" s="16">
        <v>7.7988999999999997</v>
      </c>
      <c r="S7" s="16">
        <v>7.7990000000000004</v>
      </c>
      <c r="T7" s="16">
        <v>7.7991999999999999</v>
      </c>
      <c r="U7" s="72">
        <v>7.7979000000000003</v>
      </c>
      <c r="V7" s="72">
        <v>7.7990000000000004</v>
      </c>
      <c r="W7" s="72">
        <v>7.7996999999999996</v>
      </c>
      <c r="X7" s="16">
        <v>7.7998000000000003</v>
      </c>
      <c r="Y7" s="16">
        <v>7.7992999999999997</v>
      </c>
      <c r="Z7" s="16">
        <v>7.7991999999999999</v>
      </c>
      <c r="AA7" s="16">
        <v>7.7984999999999998</v>
      </c>
      <c r="AB7" s="16">
        <v>7.7983000000000002</v>
      </c>
      <c r="AC7" s="16">
        <v>7.7992999999999997</v>
      </c>
      <c r="AD7" s="16">
        <v>7.7987000000000002</v>
      </c>
      <c r="AE7" s="16">
        <v>7.7988999999999997</v>
      </c>
      <c r="AF7" s="16">
        <v>7.7991000000000001</v>
      </c>
      <c r="AG7" s="16">
        <v>7.7984</v>
      </c>
      <c r="AH7" s="16">
        <v>7.7979000000000003</v>
      </c>
      <c r="AI7" s="16">
        <v>7.7988999999999997</v>
      </c>
      <c r="AJ7" s="16">
        <v>7.7991000000000001</v>
      </c>
      <c r="AK7" s="16">
        <v>7.7483000000000004</v>
      </c>
      <c r="AL7" s="16">
        <v>7.7591000000000001</v>
      </c>
      <c r="AM7" s="16">
        <v>7.7659000000000002</v>
      </c>
      <c r="AN7" s="16">
        <v>7.7629999999999999</v>
      </c>
      <c r="AO7" s="16">
        <v>7.774</v>
      </c>
      <c r="AP7" s="16">
        <v>7.7839</v>
      </c>
      <c r="AQ7" s="16">
        <v>7.7960000000000003</v>
      </c>
      <c r="AR7" s="16">
        <v>7.7992999999999997</v>
      </c>
      <c r="AS7" s="16">
        <v>7.7934999999999999</v>
      </c>
      <c r="AT7" s="16">
        <v>7.7976999999999999</v>
      </c>
      <c r="AU7" s="16">
        <v>7.7990000000000004</v>
      </c>
      <c r="AV7" s="16">
        <v>7.7991999999999999</v>
      </c>
      <c r="AW7" s="16">
        <v>7.798</v>
      </c>
      <c r="AX7" s="16">
        <v>7.7773000000000003</v>
      </c>
      <c r="AY7" s="16">
        <v>7.7763</v>
      </c>
      <c r="AZ7" s="16">
        <v>7.7847999999999997</v>
      </c>
      <c r="BA7" s="16">
        <v>7.7986000000000004</v>
      </c>
      <c r="BB7" s="16">
        <v>7.7754000000000003</v>
      </c>
      <c r="BC7" s="16">
        <v>7.7988999999999997</v>
      </c>
      <c r="BD7" s="16">
        <v>7.7934999999999999</v>
      </c>
      <c r="BE7" s="16">
        <v>7.7797999999999998</v>
      </c>
      <c r="BF7" s="16">
        <v>7.7717999999999998</v>
      </c>
      <c r="BG7" s="16">
        <v>7.774</v>
      </c>
      <c r="BH7" s="16">
        <v>7.7710999999999997</v>
      </c>
      <c r="BI7" s="16">
        <v>7.7582000000000004</v>
      </c>
      <c r="BJ7" s="16">
        <v>7.7545999999999999</v>
      </c>
      <c r="BK7" s="16">
        <v>7.7538</v>
      </c>
      <c r="BL7" s="16">
        <v>7.7530000000000001</v>
      </c>
      <c r="BM7" s="16">
        <v>7.7558999999999996</v>
      </c>
      <c r="BN7" s="16">
        <v>7.7571000000000003</v>
      </c>
      <c r="BO7" s="16">
        <v>7.7594000000000003</v>
      </c>
      <c r="BP7" s="16">
        <v>7.7545000000000002</v>
      </c>
      <c r="BQ7" s="16">
        <v>7.7579000000000002</v>
      </c>
      <c r="BR7" s="16">
        <v>7.7667999999999999</v>
      </c>
      <c r="BS7" s="16">
        <v>7.7718999999999996</v>
      </c>
      <c r="BT7" s="16">
        <v>7.7766999999999999</v>
      </c>
      <c r="BU7" s="16">
        <v>7.7877000000000001</v>
      </c>
      <c r="BV7" s="16">
        <v>7.7835000000000001</v>
      </c>
      <c r="BW7" s="16">
        <v>7.7755000000000001</v>
      </c>
      <c r="BX7" s="16">
        <v>7.7728999999999999</v>
      </c>
      <c r="BY7" s="16">
        <v>7.8082000000000003</v>
      </c>
      <c r="BZ7" s="16">
        <v>7.8132999999999999</v>
      </c>
      <c r="CA7" s="16">
        <v>7.8128000000000002</v>
      </c>
      <c r="CB7" s="16">
        <v>7.8208000000000002</v>
      </c>
      <c r="CC7" s="16">
        <v>7.8076999999999996</v>
      </c>
      <c r="CD7" s="16">
        <v>7.8158000000000003</v>
      </c>
      <c r="CE7" s="16">
        <v>7.8239999999999998</v>
      </c>
      <c r="CF7" s="16">
        <v>7.7958999999999996</v>
      </c>
      <c r="CG7" s="16">
        <v>7.7584</v>
      </c>
      <c r="CH7" s="16">
        <v>7.7506000000000004</v>
      </c>
      <c r="CI7" s="16">
        <v>7.7884000000000002</v>
      </c>
      <c r="CJ7" s="16">
        <v>7.8009000000000004</v>
      </c>
      <c r="CK7" s="16">
        <v>7.8021000000000003</v>
      </c>
      <c r="CL7" s="16">
        <v>7.7792000000000003</v>
      </c>
      <c r="CM7" s="16">
        <v>7.7830000000000004</v>
      </c>
      <c r="CN7" s="16">
        <v>7.7919</v>
      </c>
      <c r="CO7" s="16">
        <v>7.8036000000000003</v>
      </c>
      <c r="CP7" s="16">
        <v>7.8021000000000003</v>
      </c>
      <c r="CQ7" s="32">
        <v>7.8026</v>
      </c>
      <c r="CR7" s="32">
        <v>7.8075000000000001</v>
      </c>
      <c r="CS7" s="32">
        <v>7.7770999999999999</v>
      </c>
      <c r="CT7" s="32">
        <v>7.7518000000000002</v>
      </c>
      <c r="CU7" s="32">
        <v>7.7526000000000002</v>
      </c>
      <c r="CV7" s="32">
        <v>7.7497999999999996</v>
      </c>
      <c r="CW7" s="32">
        <v>7.7565</v>
      </c>
      <c r="CX7" s="32">
        <v>7.7539999999999996</v>
      </c>
      <c r="CY7" s="32">
        <v>7.7499000000000002</v>
      </c>
      <c r="CZ7" s="32">
        <v>7.7500999999999998</v>
      </c>
      <c r="DA7" s="32">
        <v>7.7525000000000004</v>
      </c>
      <c r="DB7" s="32">
        <v>7.7499000000000002</v>
      </c>
      <c r="DC7" s="32">
        <v>7.7497999999999996</v>
      </c>
      <c r="DD7" s="32">
        <v>7.7508999999999997</v>
      </c>
      <c r="DE7" s="32">
        <v>7.7500999999999998</v>
      </c>
      <c r="DF7" s="32">
        <v>7.75</v>
      </c>
      <c r="DG7" s="32">
        <v>7.7500999999999998</v>
      </c>
      <c r="DH7" s="32">
        <v>7.7549999999999999</v>
      </c>
      <c r="DI7" s="32">
        <v>7.7689000000000004</v>
      </c>
      <c r="DJ7" s="32">
        <v>7.7637999999999998</v>
      </c>
      <c r="DK7" s="32">
        <v>7.7634999999999996</v>
      </c>
      <c r="DL7" s="32">
        <v>7.7629999999999999</v>
      </c>
      <c r="DM7" s="32">
        <v>7.79</v>
      </c>
      <c r="DN7" s="32">
        <v>7.7849000000000004</v>
      </c>
      <c r="DO7" s="32">
        <v>7.7662000000000004</v>
      </c>
      <c r="DP7" s="32">
        <v>7.7803000000000004</v>
      </c>
      <c r="DQ7" s="32">
        <v>7.7596999999999996</v>
      </c>
      <c r="DR7" s="32">
        <v>7.7584</v>
      </c>
      <c r="DS7" s="32">
        <v>7.7644000000000002</v>
      </c>
      <c r="DT7" s="32">
        <v>7.7824999999999998</v>
      </c>
      <c r="DU7" s="32">
        <v>7.7910000000000004</v>
      </c>
      <c r="DV7" s="32">
        <v>7.7937000000000003</v>
      </c>
      <c r="DW7" s="32">
        <v>7.7838000000000003</v>
      </c>
      <c r="DX7" s="32">
        <v>7.7701000000000002</v>
      </c>
      <c r="DY7" s="32">
        <v>7.7793000000000001</v>
      </c>
      <c r="DZ7" s="32">
        <v>7.7816999999999998</v>
      </c>
      <c r="EA7" s="32">
        <v>7.7923</v>
      </c>
      <c r="EB7" s="32">
        <v>7.7938999999999998</v>
      </c>
      <c r="EC7" s="32">
        <v>7.7930000000000001</v>
      </c>
      <c r="ED7" s="32">
        <v>7.7664999999999997</v>
      </c>
      <c r="EE7" s="32">
        <v>7.7896999999999998</v>
      </c>
      <c r="EF7" s="32">
        <v>7.7721999999999998</v>
      </c>
      <c r="EG7" s="32">
        <v>7.7563000000000004</v>
      </c>
      <c r="EH7" s="32">
        <v>7.7550999999999997</v>
      </c>
      <c r="EI7" s="32">
        <v>7.7647000000000004</v>
      </c>
      <c r="EJ7" s="32">
        <v>7.7588999999999997</v>
      </c>
      <c r="EK7" s="32">
        <v>7.7660999999999998</v>
      </c>
      <c r="EL7" s="32">
        <v>7.7587999999999999</v>
      </c>
      <c r="EM7" s="32">
        <v>7.7550999999999997</v>
      </c>
      <c r="EN7" s="32">
        <v>7.7561</v>
      </c>
      <c r="EO7" s="32">
        <v>7.7538999999999998</v>
      </c>
      <c r="EP7" s="32">
        <v>7.7500999999999998</v>
      </c>
      <c r="EQ7" s="32">
        <v>7.7499000000000002</v>
      </c>
      <c r="ER7" s="32">
        <v>7.7512999999999996</v>
      </c>
      <c r="ES7" s="32">
        <v>7.758</v>
      </c>
      <c r="ET7" s="32">
        <v>7.7568999999999999</v>
      </c>
      <c r="EU7" s="32">
        <v>7.7629000000000001</v>
      </c>
      <c r="EV7" s="32">
        <v>7.7610999999999999</v>
      </c>
      <c r="EW7" s="32">
        <v>7.7636000000000003</v>
      </c>
      <c r="EX7" s="32">
        <v>7.7569999999999997</v>
      </c>
      <c r="EY7" s="32">
        <v>7.7552000000000003</v>
      </c>
      <c r="EZ7" s="32">
        <v>7.7552000000000003</v>
      </c>
      <c r="FA7" s="32">
        <v>7.7542</v>
      </c>
      <c r="FB7" s="32">
        <v>7.7531999999999996</v>
      </c>
      <c r="FC7" s="32">
        <v>7.7526000000000002</v>
      </c>
      <c r="FD7" s="57">
        <v>7.7546999999999997</v>
      </c>
      <c r="FE7" s="57">
        <v>7.7666000000000004</v>
      </c>
      <c r="FF7" s="57">
        <v>7.7603999999999997</v>
      </c>
      <c r="FG7" s="57">
        <v>7.7575000000000003</v>
      </c>
      <c r="FH7" s="57">
        <v>7.7531999999999996</v>
      </c>
      <c r="FI7" s="57">
        <v>7.7526999999999999</v>
      </c>
      <c r="FJ7" s="57">
        <v>7.7510000000000003</v>
      </c>
      <c r="FK7" s="57">
        <v>7.75</v>
      </c>
      <c r="FL7" s="57">
        <v>7.7500999999999998</v>
      </c>
      <c r="FM7" s="57">
        <v>7.7655000000000003</v>
      </c>
      <c r="FN7" s="57">
        <v>7.7552000000000003</v>
      </c>
      <c r="FO7" s="57">
        <v>7.7526000000000002</v>
      </c>
      <c r="FP7" s="57">
        <v>7.7568999999999999</v>
      </c>
      <c r="FQ7" s="57">
        <v>7.7519999999999998</v>
      </c>
      <c r="FR7" s="57">
        <v>7.7553999999999998</v>
      </c>
      <c r="FS7" s="57">
        <v>7.7544000000000004</v>
      </c>
      <c r="FT7" s="57">
        <v>7.7504999999999997</v>
      </c>
      <c r="FU7" s="57">
        <v>7.7530999999999999</v>
      </c>
      <c r="FV7" s="57">
        <v>7.7522000000000002</v>
      </c>
      <c r="FW7" s="57">
        <v>7.7522000000000002</v>
      </c>
      <c r="FX7" s="57">
        <v>7.75</v>
      </c>
      <c r="FY7" s="57">
        <v>7.7500999999999998</v>
      </c>
      <c r="FZ7" s="57">
        <v>7.75</v>
      </c>
      <c r="GA7" s="57">
        <v>7.7503000000000002</v>
      </c>
      <c r="GB7" s="57">
        <v>7.7507999999999999</v>
      </c>
      <c r="GC7" s="57">
        <v>7.7930999999999999</v>
      </c>
      <c r="GD7" s="57">
        <v>7.7735000000000003</v>
      </c>
      <c r="GE7" s="57">
        <v>7.7534000000000001</v>
      </c>
      <c r="GF7" s="57">
        <v>7.7575000000000003</v>
      </c>
      <c r="GG7" s="57">
        <v>7.7683</v>
      </c>
      <c r="GH7" s="57">
        <v>7.7584</v>
      </c>
      <c r="GI7" s="57">
        <v>7.7560000000000002</v>
      </c>
      <c r="GJ7" s="57">
        <v>7.7572000000000001</v>
      </c>
      <c r="GK7" s="57">
        <v>7.7539999999999996</v>
      </c>
      <c r="GL7" s="57">
        <v>7.7544000000000004</v>
      </c>
      <c r="GM7" s="57">
        <v>7.7563000000000004</v>
      </c>
      <c r="GN7" s="57">
        <v>7.7549999999999999</v>
      </c>
      <c r="GO7" s="57">
        <v>7.7576000000000001</v>
      </c>
      <c r="GP7" s="57">
        <v>7.7610999999999999</v>
      </c>
      <c r="GQ7" s="57">
        <v>7.7708000000000004</v>
      </c>
      <c r="GR7" s="57">
        <v>7.7807000000000004</v>
      </c>
      <c r="GS7" s="57">
        <v>7.7931999999999997</v>
      </c>
      <c r="GT7" s="57">
        <v>7.8048999999999999</v>
      </c>
      <c r="GU7" s="57">
        <v>7.8093000000000004</v>
      </c>
      <c r="GV7" s="57">
        <v>7.8247</v>
      </c>
      <c r="GW7" s="57">
        <v>7.8106</v>
      </c>
      <c r="GX7" s="57">
        <v>7.7994000000000003</v>
      </c>
      <c r="GY7" s="57">
        <v>7.8083</v>
      </c>
      <c r="GZ7" s="57">
        <v>7.8164999999999996</v>
      </c>
      <c r="HA7" s="57">
        <v>7.8174999999999999</v>
      </c>
      <c r="HB7" s="57">
        <v>7.8273999999999999</v>
      </c>
      <c r="HC7" s="57">
        <v>7.8475999999999999</v>
      </c>
      <c r="HD7" s="57">
        <v>7.8478000000000003</v>
      </c>
      <c r="HE7" s="57">
        <v>7.8460999999999999</v>
      </c>
      <c r="HF7" s="57">
        <v>7.8479999999999999</v>
      </c>
      <c r="HG7" s="57">
        <v>7.8480999999999996</v>
      </c>
      <c r="HH7" s="57">
        <v>7.8491999999999997</v>
      </c>
      <c r="HI7" s="57">
        <v>7.8162000000000003</v>
      </c>
      <c r="HJ7" s="57">
        <v>7.8449</v>
      </c>
      <c r="HK7" s="89">
        <v>7.8217999999999996</v>
      </c>
      <c r="HL7" s="89">
        <v>7.8310000000000004</v>
      </c>
      <c r="HM7" s="89">
        <v>7.8410000000000002</v>
      </c>
      <c r="HN7" s="89">
        <v>7.8493000000000004</v>
      </c>
      <c r="HO7" s="89">
        <v>7.8498000000000001</v>
      </c>
      <c r="HP7" s="89">
        <v>7.8433999999999999</v>
      </c>
      <c r="HQ7" s="89">
        <v>7.8478000000000003</v>
      </c>
      <c r="HR7" s="89">
        <v>7.8151000000000002</v>
      </c>
      <c r="HS7" s="89">
        <v>7.8235000000000001</v>
      </c>
      <c r="HT7" s="89">
        <v>7.8452000000000002</v>
      </c>
      <c r="HU7" s="89">
        <v>7.8409000000000004</v>
      </c>
      <c r="HV7" s="89">
        <v>7.8384</v>
      </c>
      <c r="HW7" s="89">
        <v>7.8273000000000001</v>
      </c>
      <c r="HX7" s="89">
        <v>7.7885</v>
      </c>
      <c r="HY7" s="89">
        <v>7.7674000000000003</v>
      </c>
      <c r="HZ7" s="89">
        <v>7.7946</v>
      </c>
      <c r="IA7" s="89">
        <v>7.7541000000000002</v>
      </c>
      <c r="IB7" s="89">
        <v>7.7503000000000002</v>
      </c>
      <c r="IC7" s="89">
        <v>7.7526999999999999</v>
      </c>
      <c r="ID7" s="89">
        <v>7.7503000000000002</v>
      </c>
      <c r="IE7" s="89">
        <v>7.75</v>
      </c>
      <c r="IF7" s="89">
        <v>7.7500999999999998</v>
      </c>
      <c r="IG7" s="89">
        <v>7.7497999999999996</v>
      </c>
      <c r="IH7" s="89">
        <v>7.75</v>
      </c>
      <c r="II7" s="89">
        <v>7.7507999999999999</v>
      </c>
      <c r="IJ7" s="89">
        <v>7.7523999999999997</v>
      </c>
      <c r="IK7" s="89">
        <v>7.7525000000000004</v>
      </c>
      <c r="IL7" s="89">
        <v>7.7546999999999997</v>
      </c>
      <c r="IM7" s="89">
        <v>7.7756999999999996</v>
      </c>
      <c r="IN7" s="89">
        <v>7.7624000000000004</v>
      </c>
      <c r="IO7" s="89">
        <v>7.7618999999999998</v>
      </c>
      <c r="IP7" s="89">
        <v>7.7637999999999998</v>
      </c>
      <c r="IQ7" s="89">
        <v>7.77</v>
      </c>
      <c r="IR7" s="89">
        <v>7.7870999999999997</v>
      </c>
      <c r="IS7" s="89">
        <v>7.7854999999999999</v>
      </c>
      <c r="IT7" s="89">
        <v>7.7782</v>
      </c>
      <c r="IU7" s="89">
        <v>7.7995000000000001</v>
      </c>
      <c r="IV7" s="89">
        <v>7.7979000000000003</v>
      </c>
      <c r="IW7" s="89">
        <v>7.7938999999999998</v>
      </c>
      <c r="IX7" s="89">
        <v>7.8075999999999999</v>
      </c>
      <c r="IY7" s="89">
        <v>7.8272000000000004</v>
      </c>
      <c r="IZ7" s="89">
        <v>7.8464999999999998</v>
      </c>
      <c r="JA7" s="89">
        <v>7.8483000000000001</v>
      </c>
      <c r="JB7" s="89">
        <v>7.8460999999999999</v>
      </c>
      <c r="JC7" s="89">
        <v>7.8494999999999999</v>
      </c>
      <c r="JD7" s="89">
        <v>7.8490000000000002</v>
      </c>
      <c r="JE7" s="89">
        <v>7.8497000000000003</v>
      </c>
      <c r="JF7" s="89">
        <v>7.8486000000000002</v>
      </c>
      <c r="JG7" s="89">
        <v>7.8102</v>
      </c>
      <c r="JH7" s="89">
        <v>7.7969999999999997</v>
      </c>
      <c r="JI7" s="89">
        <v>7.8380999999999998</v>
      </c>
      <c r="JJ7" s="89">
        <v>7.8491</v>
      </c>
      <c r="JK7" s="89">
        <v>7.8498000000000001</v>
      </c>
      <c r="JL7" s="89">
        <v>7.8498000000000001</v>
      </c>
      <c r="JM7" s="89">
        <v>7.8334999999999999</v>
      </c>
      <c r="JN7" s="89">
        <v>7.8346</v>
      </c>
      <c r="JO7" s="89">
        <v>7.8010000000000002</v>
      </c>
      <c r="JP7" s="89">
        <v>7.8438999999999997</v>
      </c>
      <c r="JQ7" s="89">
        <v>7.8292000000000002</v>
      </c>
      <c r="JR7" s="89">
        <v>7.8235000000000001</v>
      </c>
      <c r="JS7" s="89">
        <v>7.8083</v>
      </c>
      <c r="JT7" s="89">
        <v>7.8106999999999998</v>
      </c>
      <c r="JU7" s="89">
        <v>7.8188000000000004</v>
      </c>
      <c r="JV7" s="89">
        <v>7.8266999999999998</v>
      </c>
      <c r="JW7" s="89">
        <v>7.8255999999999997</v>
      </c>
      <c r="JX7" s="89">
        <v>7.8209999999999997</v>
      </c>
      <c r="JY7" s="89">
        <v>7.8164999999999996</v>
      </c>
      <c r="JZ7" s="89">
        <v>7.8080999999999996</v>
      </c>
      <c r="KA7" s="89">
        <v>7.8122999999999996</v>
      </c>
      <c r="KB7" s="89">
        <v>7.7991999999999999</v>
      </c>
      <c r="KC7" s="89">
        <v>7.7659000000000002</v>
      </c>
      <c r="KD7" s="89">
        <v>7.7737999999999996</v>
      </c>
      <c r="KE7" s="89">
        <v>7.7831000000000001</v>
      </c>
      <c r="KF7" s="89">
        <v>7.7641999999999998</v>
      </c>
      <c r="KG7" s="89">
        <v>7.7926000000000002</v>
      </c>
      <c r="KH7" s="89">
        <v>7.7778999999999998</v>
      </c>
      <c r="KI7" s="89">
        <v>7.7793999999999999</v>
      </c>
      <c r="KJ7" s="89">
        <v>7.7554999999999996</v>
      </c>
      <c r="KK7" s="89">
        <v>7.8425000000000002</v>
      </c>
      <c r="KL7" s="89">
        <v>7.8498000000000001</v>
      </c>
      <c r="KM7" s="89">
        <v>7.8498999999999999</v>
      </c>
      <c r="KN7" s="89">
        <v>7.7933000000000003</v>
      </c>
      <c r="KO7" s="89">
        <v>7.7792000000000003</v>
      </c>
      <c r="KP7" s="89">
        <v>7.7693000000000003</v>
      </c>
      <c r="KQ7" s="89">
        <v>7.7840999999999996</v>
      </c>
      <c r="KR7" s="89">
        <v>7.7827000000000002</v>
      </c>
      <c r="KS7" s="89">
        <v>7.8068999999999997</v>
      </c>
    </row>
    <row r="8" spans="1:305" ht="23.25" customHeight="1" x14ac:dyDescent="0.2">
      <c r="A8" s="28" t="s">
        <v>12</v>
      </c>
      <c r="B8" s="15" t="s">
        <v>17</v>
      </c>
      <c r="C8" s="40">
        <v>102.15</v>
      </c>
      <c r="D8" s="8">
        <v>114.25</v>
      </c>
      <c r="E8" s="8">
        <v>115.9</v>
      </c>
      <c r="F8" s="8">
        <v>116.23</v>
      </c>
      <c r="G8" s="8">
        <v>123.71</v>
      </c>
      <c r="H8" s="8">
        <v>123.89</v>
      </c>
      <c r="I8" s="10">
        <v>120.25</v>
      </c>
      <c r="J8" s="10">
        <v>123.7</v>
      </c>
      <c r="K8" s="10">
        <v>124.98</v>
      </c>
      <c r="L8" s="10">
        <v>119.2</v>
      </c>
      <c r="M8" s="10">
        <v>118.03</v>
      </c>
      <c r="N8" s="10">
        <v>122.48</v>
      </c>
      <c r="O8" s="10">
        <v>123.81</v>
      </c>
      <c r="P8" s="10">
        <v>131.38</v>
      </c>
      <c r="Q8" s="10">
        <v>132.87</v>
      </c>
      <c r="R8" s="10">
        <v>134.19</v>
      </c>
      <c r="S8" s="10">
        <v>133</v>
      </c>
      <c r="T8" s="10">
        <v>127.95</v>
      </c>
      <c r="U8" s="10">
        <v>123.39</v>
      </c>
      <c r="V8" s="10">
        <v>119.62</v>
      </c>
      <c r="W8" s="10">
        <v>120.12</v>
      </c>
      <c r="X8" s="10">
        <v>118.11</v>
      </c>
      <c r="Y8" s="10">
        <v>122.66</v>
      </c>
      <c r="Z8" s="10">
        <v>123.53</v>
      </c>
      <c r="AA8" s="10">
        <v>122.35</v>
      </c>
      <c r="AB8" s="10">
        <v>119.94</v>
      </c>
      <c r="AC8" s="10">
        <v>119.02</v>
      </c>
      <c r="AD8" s="10">
        <v>117.71</v>
      </c>
      <c r="AE8" s="10">
        <v>119.94</v>
      </c>
      <c r="AF8" s="10">
        <v>119.67</v>
      </c>
      <c r="AG8" s="10">
        <v>118.27</v>
      </c>
      <c r="AH8" s="10">
        <v>119.73</v>
      </c>
      <c r="AI8" s="10">
        <v>120.24</v>
      </c>
      <c r="AJ8" s="10">
        <v>117.13</v>
      </c>
      <c r="AK8" s="10">
        <v>111.1</v>
      </c>
      <c r="AL8" s="10">
        <v>108.16</v>
      </c>
      <c r="AM8" s="10">
        <v>109.43</v>
      </c>
      <c r="AN8" s="10">
        <v>106.95</v>
      </c>
      <c r="AO8" s="10">
        <v>106.06</v>
      </c>
      <c r="AP8" s="10">
        <v>109.6</v>
      </c>
      <c r="AQ8" s="10">
        <v>105.51</v>
      </c>
      <c r="AR8" s="10">
        <v>110.25</v>
      </c>
      <c r="AS8" s="10">
        <v>110.03</v>
      </c>
      <c r="AT8" s="10">
        <v>108.23</v>
      </c>
      <c r="AU8" s="10">
        <v>111.55</v>
      </c>
      <c r="AV8" s="10">
        <v>109.94</v>
      </c>
      <c r="AW8" s="10">
        <v>111.21</v>
      </c>
      <c r="AX8" s="10">
        <v>106.64</v>
      </c>
      <c r="AY8" s="10">
        <v>103.01</v>
      </c>
      <c r="AZ8" s="10">
        <v>104.34</v>
      </c>
      <c r="BA8" s="10">
        <v>103.65</v>
      </c>
      <c r="BB8" s="10">
        <v>108.61</v>
      </c>
      <c r="BC8" s="10">
        <v>107.26</v>
      </c>
      <c r="BD8" s="10">
        <v>104.6</v>
      </c>
      <c r="BE8" s="10">
        <v>107.99</v>
      </c>
      <c r="BF8" s="10">
        <v>110.44</v>
      </c>
      <c r="BG8" s="10">
        <v>112.55</v>
      </c>
      <c r="BH8" s="10">
        <v>111.42</v>
      </c>
      <c r="BI8" s="10">
        <v>113.14</v>
      </c>
      <c r="BJ8" s="10">
        <v>115.34</v>
      </c>
      <c r="BK8" s="10">
        <v>119.73</v>
      </c>
      <c r="BL8" s="10">
        <v>117.89</v>
      </c>
      <c r="BM8" s="10">
        <v>117.67</v>
      </c>
      <c r="BN8" s="10">
        <v>116.17</v>
      </c>
      <c r="BO8" s="10">
        <v>117.36</v>
      </c>
      <c r="BP8" s="10">
        <v>114.27</v>
      </c>
      <c r="BQ8" s="10">
        <v>112.31</v>
      </c>
      <c r="BR8" s="10">
        <v>115.17</v>
      </c>
      <c r="BS8" s="10">
        <v>114.83</v>
      </c>
      <c r="BT8" s="10">
        <v>117.15</v>
      </c>
      <c r="BU8" s="10">
        <v>117.45</v>
      </c>
      <c r="BV8" s="10">
        <v>118.57</v>
      </c>
      <c r="BW8" s="10">
        <v>116.44</v>
      </c>
      <c r="BX8" s="10">
        <v>118.99</v>
      </c>
      <c r="BY8" s="10">
        <v>121.66</v>
      </c>
      <c r="BZ8" s="10">
        <v>118.68</v>
      </c>
      <c r="CA8" s="10">
        <v>117.87</v>
      </c>
      <c r="CB8" s="10">
        <v>119.57</v>
      </c>
      <c r="CC8" s="10">
        <v>121.58</v>
      </c>
      <c r="CD8" s="10">
        <v>123.19</v>
      </c>
      <c r="CE8" s="10">
        <v>119.04</v>
      </c>
      <c r="CF8" s="10">
        <v>115.83</v>
      </c>
      <c r="CG8" s="10">
        <v>115.56</v>
      </c>
      <c r="CH8" s="10">
        <v>114.64</v>
      </c>
      <c r="CI8" s="10">
        <v>110.07</v>
      </c>
      <c r="CJ8" s="10">
        <v>112.23</v>
      </c>
      <c r="CK8" s="10">
        <v>106.58</v>
      </c>
      <c r="CL8" s="10">
        <v>104.86</v>
      </c>
      <c r="CM8" s="10">
        <v>100.02</v>
      </c>
      <c r="CN8" s="10">
        <v>104.04</v>
      </c>
      <c r="CO8" s="10">
        <v>105.68</v>
      </c>
      <c r="CP8" s="10">
        <v>106.37</v>
      </c>
      <c r="CQ8" s="33">
        <v>108.12</v>
      </c>
      <c r="CR8" s="33">
        <v>109.33</v>
      </c>
      <c r="CS8" s="33">
        <v>105.88</v>
      </c>
      <c r="CT8" s="33">
        <v>98.02</v>
      </c>
      <c r="CU8" s="33">
        <v>95.44</v>
      </c>
      <c r="CV8" s="33">
        <v>90.33</v>
      </c>
      <c r="CW8" s="33">
        <v>89.75</v>
      </c>
      <c r="CX8" s="33">
        <v>97.84</v>
      </c>
      <c r="CY8" s="33">
        <v>97.66</v>
      </c>
      <c r="CZ8" s="33">
        <v>97.56</v>
      </c>
      <c r="DA8" s="33">
        <v>96.45</v>
      </c>
      <c r="DB8" s="33">
        <v>96.08</v>
      </c>
      <c r="DC8" s="33">
        <v>95.52</v>
      </c>
      <c r="DD8" s="33">
        <v>93</v>
      </c>
      <c r="DE8" s="33">
        <v>90.35</v>
      </c>
      <c r="DF8" s="33">
        <v>91.38</v>
      </c>
      <c r="DG8" s="33">
        <v>86.53</v>
      </c>
      <c r="DH8" s="33">
        <v>92.46</v>
      </c>
      <c r="DI8" s="33">
        <v>89.76</v>
      </c>
      <c r="DJ8" s="33">
        <v>89.26</v>
      </c>
      <c r="DK8" s="33">
        <v>92.89</v>
      </c>
      <c r="DL8" s="33">
        <v>94.6</v>
      </c>
      <c r="DM8" s="33">
        <v>91.18</v>
      </c>
      <c r="DN8" s="33">
        <v>88.65</v>
      </c>
      <c r="DO8" s="33">
        <v>86.79</v>
      </c>
      <c r="DP8" s="33">
        <v>84.57</v>
      </c>
      <c r="DQ8" s="33">
        <v>83.75</v>
      </c>
      <c r="DR8" s="33">
        <v>81.63</v>
      </c>
      <c r="DS8" s="33">
        <v>84.21</v>
      </c>
      <c r="DT8" s="33">
        <v>81.489999999999995</v>
      </c>
      <c r="DU8" s="33">
        <v>82.11</v>
      </c>
      <c r="DV8" s="33">
        <v>81.650000000000006</v>
      </c>
      <c r="DW8" s="33">
        <v>83.16</v>
      </c>
      <c r="DX8" s="33">
        <v>81.59</v>
      </c>
      <c r="DY8" s="33">
        <v>80.88</v>
      </c>
      <c r="DZ8" s="33">
        <v>80.67</v>
      </c>
      <c r="EA8" s="33">
        <v>77.819999999999993</v>
      </c>
      <c r="EB8" s="33">
        <v>76.67</v>
      </c>
      <c r="EC8" s="33">
        <v>76.66</v>
      </c>
      <c r="ED8" s="33">
        <v>75.900000000000006</v>
      </c>
      <c r="EE8" s="33">
        <v>78.05</v>
      </c>
      <c r="EF8" s="33">
        <v>77.650000000000006</v>
      </c>
      <c r="EG8" s="33">
        <v>76.3</v>
      </c>
      <c r="EH8" s="33">
        <v>80.540000000000006</v>
      </c>
      <c r="EI8" s="33">
        <v>82.16</v>
      </c>
      <c r="EJ8" s="33">
        <v>80.349999999999994</v>
      </c>
      <c r="EK8" s="33">
        <v>78.94</v>
      </c>
      <c r="EL8" s="33">
        <v>79.290000000000006</v>
      </c>
      <c r="EM8" s="33">
        <v>78.13</v>
      </c>
      <c r="EN8" s="33">
        <v>78.56</v>
      </c>
      <c r="EO8" s="33">
        <v>77.62</v>
      </c>
      <c r="EP8" s="33">
        <v>79.77</v>
      </c>
      <c r="EQ8" s="33">
        <v>82.11</v>
      </c>
      <c r="ER8" s="33">
        <v>85.99</v>
      </c>
      <c r="ES8" s="33">
        <v>90.97</v>
      </c>
      <c r="ET8" s="33">
        <v>92.33</v>
      </c>
      <c r="EU8" s="33">
        <v>94.23</v>
      </c>
      <c r="EV8" s="33">
        <v>97.91</v>
      </c>
      <c r="EW8" s="33">
        <v>101.09</v>
      </c>
      <c r="EX8" s="33">
        <v>98.47</v>
      </c>
      <c r="EY8" s="33">
        <v>98</v>
      </c>
      <c r="EZ8" s="33">
        <v>98.41</v>
      </c>
      <c r="FA8" s="33">
        <v>97.81</v>
      </c>
      <c r="FB8" s="33">
        <v>98.49</v>
      </c>
      <c r="FC8" s="33">
        <v>102.29</v>
      </c>
      <c r="FD8" s="58">
        <v>104.93</v>
      </c>
      <c r="FE8" s="58">
        <v>102.7</v>
      </c>
      <c r="FF8" s="58">
        <v>102.07</v>
      </c>
      <c r="FG8" s="58">
        <v>102.85</v>
      </c>
      <c r="FH8" s="58">
        <v>102.55</v>
      </c>
      <c r="FI8" s="58">
        <v>101.68</v>
      </c>
      <c r="FJ8" s="58">
        <v>101.43</v>
      </c>
      <c r="FK8" s="58">
        <v>102.81</v>
      </c>
      <c r="FL8" s="58">
        <v>103.73</v>
      </c>
      <c r="FM8" s="58">
        <v>109.4</v>
      </c>
      <c r="FN8" s="58">
        <v>109.25</v>
      </c>
      <c r="FO8" s="58">
        <v>117.99</v>
      </c>
      <c r="FP8" s="58">
        <v>119.45</v>
      </c>
      <c r="FQ8" s="58">
        <v>118.24</v>
      </c>
      <c r="FR8" s="58">
        <v>119.25</v>
      </c>
      <c r="FS8" s="58">
        <v>120.05</v>
      </c>
      <c r="FT8" s="58">
        <v>118.93</v>
      </c>
      <c r="FU8" s="58">
        <v>123.79</v>
      </c>
      <c r="FV8" s="58">
        <v>122.59</v>
      </c>
      <c r="FW8" s="58">
        <v>123.97</v>
      </c>
      <c r="FX8" s="58">
        <v>121.33</v>
      </c>
      <c r="FY8" s="58">
        <v>119.9</v>
      </c>
      <c r="FZ8" s="58">
        <v>121</v>
      </c>
      <c r="GA8" s="58">
        <v>122.83</v>
      </c>
      <c r="GB8" s="58">
        <v>120.47</v>
      </c>
      <c r="GC8" s="58">
        <v>118.89</v>
      </c>
      <c r="GD8" s="58">
        <v>113.69</v>
      </c>
      <c r="GE8" s="58">
        <v>112.36</v>
      </c>
      <c r="GF8" s="58">
        <v>108.08</v>
      </c>
      <c r="GG8" s="58">
        <v>110.84</v>
      </c>
      <c r="GH8" s="58">
        <v>102.73</v>
      </c>
      <c r="GI8" s="58">
        <v>104.78</v>
      </c>
      <c r="GJ8" s="58">
        <v>102.92</v>
      </c>
      <c r="GK8" s="58">
        <v>100.99</v>
      </c>
      <c r="GL8" s="58">
        <v>104.82</v>
      </c>
      <c r="GM8" s="58">
        <v>112.34</v>
      </c>
      <c r="GN8" s="58">
        <v>116.43</v>
      </c>
      <c r="GO8" s="58">
        <v>113.62</v>
      </c>
      <c r="GP8" s="58">
        <v>112.79</v>
      </c>
      <c r="GQ8" s="58">
        <v>111.81</v>
      </c>
      <c r="GR8" s="58">
        <v>111.33</v>
      </c>
      <c r="GS8" s="58">
        <v>110.85</v>
      </c>
      <c r="GT8" s="58">
        <v>112.11</v>
      </c>
      <c r="GU8" s="58">
        <v>110.52</v>
      </c>
      <c r="GV8" s="58">
        <v>110.52</v>
      </c>
      <c r="GW8" s="58">
        <v>112.46</v>
      </c>
      <c r="GX8" s="58">
        <v>113.03</v>
      </c>
      <c r="GY8" s="58">
        <v>112</v>
      </c>
      <c r="GZ8" s="58">
        <v>112.96</v>
      </c>
      <c r="HA8" s="58">
        <v>108.93</v>
      </c>
      <c r="HB8" s="58">
        <v>107.51</v>
      </c>
      <c r="HC8" s="58">
        <v>106.47</v>
      </c>
      <c r="HD8" s="58">
        <v>109.14</v>
      </c>
      <c r="HE8" s="58">
        <v>108.59</v>
      </c>
      <c r="HF8" s="58">
        <v>110.45</v>
      </c>
      <c r="HG8" s="58">
        <v>110.9</v>
      </c>
      <c r="HH8" s="58">
        <v>110.96</v>
      </c>
      <c r="HI8" s="58">
        <v>113.4</v>
      </c>
      <c r="HJ8" s="58">
        <v>113.11</v>
      </c>
      <c r="HK8" s="90">
        <v>113.4</v>
      </c>
      <c r="HL8" s="90">
        <v>110.36</v>
      </c>
      <c r="HM8" s="90">
        <v>108.9</v>
      </c>
      <c r="HN8" s="90">
        <v>110.9</v>
      </c>
      <c r="HO8" s="90">
        <v>110.58</v>
      </c>
      <c r="HP8" s="90">
        <v>111.67</v>
      </c>
      <c r="HQ8" s="90">
        <v>109.28</v>
      </c>
      <c r="HR8" s="90">
        <v>107.69</v>
      </c>
      <c r="HS8" s="90">
        <v>108.55</v>
      </c>
      <c r="HT8" s="90">
        <v>106.47</v>
      </c>
      <c r="HU8" s="90">
        <v>107.95</v>
      </c>
      <c r="HV8" s="90">
        <v>108.81</v>
      </c>
      <c r="HW8" s="90">
        <v>109.56</v>
      </c>
      <c r="HX8" s="90">
        <v>108.86</v>
      </c>
      <c r="HY8" s="90">
        <v>108.93</v>
      </c>
      <c r="HZ8" s="90">
        <v>109.67</v>
      </c>
      <c r="IA8" s="90">
        <v>108.01</v>
      </c>
      <c r="IB8" s="90">
        <v>106.65</v>
      </c>
      <c r="IC8" s="90">
        <v>107.63</v>
      </c>
      <c r="ID8" s="90">
        <v>107.64</v>
      </c>
      <c r="IE8" s="90">
        <v>104.58</v>
      </c>
      <c r="IF8" s="90">
        <v>105.36</v>
      </c>
      <c r="IG8" s="90">
        <v>105.73</v>
      </c>
      <c r="IH8" s="90">
        <v>104.54</v>
      </c>
      <c r="II8" s="90">
        <v>103.91</v>
      </c>
      <c r="IJ8" s="90">
        <v>103.14</v>
      </c>
      <c r="IK8" s="90">
        <v>104.33</v>
      </c>
      <c r="IL8" s="90">
        <v>106.21</v>
      </c>
      <c r="IM8" s="90">
        <v>110.41</v>
      </c>
      <c r="IN8" s="90">
        <v>108.5</v>
      </c>
      <c r="IO8" s="90">
        <v>109.91</v>
      </c>
      <c r="IP8" s="90">
        <v>110.56</v>
      </c>
      <c r="IQ8" s="90">
        <v>109.41</v>
      </c>
      <c r="IR8" s="90">
        <v>109.95</v>
      </c>
      <c r="IS8" s="90">
        <v>111.88</v>
      </c>
      <c r="IT8" s="90">
        <v>113.81</v>
      </c>
      <c r="IU8" s="90">
        <v>113.85</v>
      </c>
      <c r="IV8" s="90">
        <v>115.04</v>
      </c>
      <c r="IW8" s="90">
        <v>115.38</v>
      </c>
      <c r="IX8" s="90">
        <v>115.58</v>
      </c>
      <c r="IY8" s="90">
        <v>122.2</v>
      </c>
      <c r="IZ8" s="90">
        <v>130.63</v>
      </c>
      <c r="JA8" s="90">
        <v>127.78</v>
      </c>
      <c r="JB8" s="90">
        <v>136.65</v>
      </c>
      <c r="JC8" s="90">
        <v>134.41</v>
      </c>
      <c r="JD8" s="90">
        <v>138.68</v>
      </c>
      <c r="JE8" s="90">
        <v>144.38</v>
      </c>
      <c r="JF8" s="90">
        <v>147.65</v>
      </c>
      <c r="JG8" s="90">
        <v>138.74</v>
      </c>
      <c r="JH8" s="90">
        <v>131.88</v>
      </c>
      <c r="JI8" s="90">
        <v>130.36000000000001</v>
      </c>
      <c r="JJ8" s="90">
        <v>136.72</v>
      </c>
      <c r="JK8" s="90">
        <v>133.49</v>
      </c>
      <c r="JL8" s="90">
        <v>135.76</v>
      </c>
      <c r="JM8" s="90">
        <v>139.85</v>
      </c>
      <c r="JN8" s="90">
        <v>144.77000000000001</v>
      </c>
      <c r="JO8" s="90">
        <v>142.46</v>
      </c>
      <c r="JP8" s="90">
        <v>145.83000000000001</v>
      </c>
      <c r="JQ8" s="90">
        <v>148.94</v>
      </c>
      <c r="JR8" s="90">
        <v>150.36000000000001</v>
      </c>
      <c r="JS8" s="90">
        <v>147.01</v>
      </c>
      <c r="JT8" s="90">
        <v>141.44999999999999</v>
      </c>
      <c r="JU8" s="90">
        <v>147.51</v>
      </c>
      <c r="JV8" s="90">
        <v>149.80000000000001</v>
      </c>
      <c r="JW8" s="90">
        <v>151.36000000000001</v>
      </c>
      <c r="JX8" s="90">
        <v>156.87</v>
      </c>
      <c r="JY8" s="90">
        <v>157.21</v>
      </c>
      <c r="JZ8" s="90">
        <v>160.93</v>
      </c>
      <c r="KA8" s="90">
        <v>150.56</v>
      </c>
      <c r="KB8" s="90">
        <v>144.71</v>
      </c>
      <c r="KC8" s="90">
        <v>142.41999999999999</v>
      </c>
      <c r="KD8" s="90">
        <v>152.44999999999999</v>
      </c>
      <c r="KE8" s="90">
        <v>150.06</v>
      </c>
      <c r="KF8" s="90">
        <v>156.19</v>
      </c>
      <c r="KG8" s="90">
        <v>154.68</v>
      </c>
      <c r="KH8" s="90">
        <v>150.66</v>
      </c>
      <c r="KI8" s="90">
        <v>149.09</v>
      </c>
      <c r="KJ8" s="90">
        <v>142.88</v>
      </c>
      <c r="KK8" s="90">
        <v>144.02000000000001</v>
      </c>
      <c r="KL8" s="90">
        <v>144.12</v>
      </c>
      <c r="KM8" s="90">
        <v>149.52000000000001</v>
      </c>
      <c r="KN8" s="90">
        <v>146.96</v>
      </c>
      <c r="KO8" s="90">
        <v>147.93</v>
      </c>
      <c r="KP8" s="90">
        <v>154.29</v>
      </c>
      <c r="KQ8" s="90">
        <v>156.35</v>
      </c>
      <c r="KR8" s="90">
        <v>156.6</v>
      </c>
      <c r="KS8" s="90">
        <v>153.82</v>
      </c>
    </row>
    <row r="9" spans="1:305" ht="23.25" customHeight="1" x14ac:dyDescent="0.2">
      <c r="A9" s="21" t="s">
        <v>4</v>
      </c>
      <c r="B9" s="15" t="s">
        <v>18</v>
      </c>
      <c r="C9" s="73">
        <v>1137</v>
      </c>
      <c r="D9" s="20">
        <v>1257.2</v>
      </c>
      <c r="E9" s="20">
        <v>1259.5</v>
      </c>
      <c r="F9" s="20">
        <v>1249.8</v>
      </c>
      <c r="G9" s="20">
        <v>1323.5</v>
      </c>
      <c r="H9" s="20">
        <v>1327.5</v>
      </c>
      <c r="I9" s="20">
        <v>1280</v>
      </c>
      <c r="J9" s="20">
        <v>1301</v>
      </c>
      <c r="K9" s="20">
        <v>1295</v>
      </c>
      <c r="L9" s="20">
        <v>1274</v>
      </c>
      <c r="M9" s="20">
        <v>1295</v>
      </c>
      <c r="N9" s="20">
        <v>1292</v>
      </c>
      <c r="O9" s="20">
        <v>1259</v>
      </c>
      <c r="P9" s="20">
        <v>1313</v>
      </c>
      <c r="Q9" s="20">
        <v>1301</v>
      </c>
      <c r="R9" s="20">
        <v>1323.7</v>
      </c>
      <c r="S9" s="20">
        <v>1317</v>
      </c>
      <c r="T9" s="20">
        <v>1287.5999999999999</v>
      </c>
      <c r="U9" s="20">
        <v>1212.5</v>
      </c>
      <c r="V9" s="20">
        <v>1187.9000000000001</v>
      </c>
      <c r="W9" s="20">
        <v>1193.4000000000001</v>
      </c>
      <c r="X9" s="20">
        <v>1200.3</v>
      </c>
      <c r="Y9" s="20">
        <v>1227.4000000000001</v>
      </c>
      <c r="Z9" s="20">
        <v>1223.5</v>
      </c>
      <c r="AA9" s="20">
        <v>1207.0999999999999</v>
      </c>
      <c r="AB9" s="20">
        <v>1202.4000000000001</v>
      </c>
      <c r="AC9" s="20">
        <v>1163</v>
      </c>
      <c r="AD9" s="20">
        <v>1163</v>
      </c>
      <c r="AE9" s="20">
        <v>1259.8</v>
      </c>
      <c r="AF9" s="20">
        <v>1213.0999999999999</v>
      </c>
      <c r="AG9" s="20">
        <v>1204.4000000000001</v>
      </c>
      <c r="AH9" s="20">
        <v>1195.7</v>
      </c>
      <c r="AI9" s="20">
        <v>1181.3</v>
      </c>
      <c r="AJ9" s="20">
        <v>1179</v>
      </c>
      <c r="AK9" s="20">
        <v>1150.5</v>
      </c>
      <c r="AL9" s="20">
        <v>1183.4000000000001</v>
      </c>
      <c r="AM9" s="20">
        <v>1204.4000000000001</v>
      </c>
      <c r="AN9" s="20">
        <v>1195.3</v>
      </c>
      <c r="AO9" s="20">
        <v>1174.5</v>
      </c>
      <c r="AP9" s="20">
        <v>1177.5</v>
      </c>
      <c r="AQ9" s="20">
        <v>1152.3</v>
      </c>
      <c r="AR9" s="20">
        <v>1175.4000000000001</v>
      </c>
      <c r="AS9" s="20">
        <v>1164.5</v>
      </c>
      <c r="AT9" s="20">
        <v>1151.7</v>
      </c>
      <c r="AU9" s="20">
        <v>1168</v>
      </c>
      <c r="AV9" s="20">
        <v>1154.8</v>
      </c>
      <c r="AW9" s="20">
        <v>1153.7</v>
      </c>
      <c r="AX9" s="20">
        <v>1125.5999999999999</v>
      </c>
      <c r="AY9" s="20">
        <v>1047</v>
      </c>
      <c r="AZ9" s="20">
        <v>1038</v>
      </c>
      <c r="BA9" s="20">
        <v>1024</v>
      </c>
      <c r="BB9" s="20">
        <v>1178</v>
      </c>
      <c r="BC9" s="20">
        <v>1018.8</v>
      </c>
      <c r="BD9" s="20">
        <v>995</v>
      </c>
      <c r="BE9" s="20">
        <v>999.4</v>
      </c>
      <c r="BF9" s="20">
        <v>1031</v>
      </c>
      <c r="BG9" s="20">
        <v>1029</v>
      </c>
      <c r="BH9" s="20">
        <v>1037.7</v>
      </c>
      <c r="BI9" s="20">
        <v>1038.5999999999999</v>
      </c>
      <c r="BJ9" s="20">
        <v>1042.9000000000001</v>
      </c>
      <c r="BK9" s="20">
        <v>1038.9000000000001</v>
      </c>
      <c r="BL9" s="20">
        <v>1011.6</v>
      </c>
      <c r="BM9" s="20">
        <v>971.6</v>
      </c>
      <c r="BN9" s="20">
        <v>968.4</v>
      </c>
      <c r="BO9" s="20">
        <v>975.5</v>
      </c>
      <c r="BP9" s="20">
        <v>943</v>
      </c>
      <c r="BQ9" s="20">
        <v>945.3</v>
      </c>
      <c r="BR9" s="20">
        <v>954.5</v>
      </c>
      <c r="BS9" s="20">
        <v>953.7</v>
      </c>
      <c r="BT9" s="20">
        <v>960.7</v>
      </c>
      <c r="BU9" s="20">
        <v>944.8</v>
      </c>
      <c r="BV9" s="20">
        <v>947.7</v>
      </c>
      <c r="BW9" s="20">
        <v>931.5</v>
      </c>
      <c r="BX9" s="20">
        <v>929.3</v>
      </c>
      <c r="BY9" s="20">
        <v>941.8</v>
      </c>
      <c r="BZ9" s="20">
        <v>941.3</v>
      </c>
      <c r="CA9" s="20">
        <v>940.6</v>
      </c>
      <c r="CB9" s="20">
        <v>931.4</v>
      </c>
      <c r="CC9" s="20">
        <v>927.9</v>
      </c>
      <c r="CD9" s="20">
        <v>926.6</v>
      </c>
      <c r="CE9" s="20">
        <v>921.1</v>
      </c>
      <c r="CF9" s="20">
        <v>939.8</v>
      </c>
      <c r="CG9" s="20">
        <v>917.8</v>
      </c>
      <c r="CH9" s="20">
        <v>909.2</v>
      </c>
      <c r="CI9" s="20">
        <v>927.6</v>
      </c>
      <c r="CJ9" s="20">
        <v>935.8</v>
      </c>
      <c r="CK9" s="20">
        <v>944.6</v>
      </c>
      <c r="CL9" s="20">
        <v>936.3</v>
      </c>
      <c r="CM9" s="20">
        <v>992.1</v>
      </c>
      <c r="CN9" s="20">
        <v>1003.6</v>
      </c>
      <c r="CO9" s="20">
        <v>1026</v>
      </c>
      <c r="CP9" s="20">
        <v>1043.9000000000001</v>
      </c>
      <c r="CQ9" s="34">
        <v>1011.5</v>
      </c>
      <c r="CR9" s="34">
        <v>1088</v>
      </c>
      <c r="CS9" s="34">
        <v>1153.5999999999999</v>
      </c>
      <c r="CT9" s="34">
        <v>1349.9</v>
      </c>
      <c r="CU9" s="34">
        <v>1463.1</v>
      </c>
      <c r="CV9" s="34">
        <v>1352</v>
      </c>
      <c r="CW9" s="34">
        <v>1383</v>
      </c>
      <c r="CX9" s="34">
        <v>1522.6</v>
      </c>
      <c r="CY9" s="34">
        <v>1410.9</v>
      </c>
      <c r="CZ9" s="34">
        <v>1322.9</v>
      </c>
      <c r="DA9" s="34">
        <v>1259.0999999999999</v>
      </c>
      <c r="DB9" s="34">
        <v>1280.3</v>
      </c>
      <c r="DC9" s="34">
        <v>1232.4000000000001</v>
      </c>
      <c r="DD9" s="34">
        <v>1246.2</v>
      </c>
      <c r="DE9" s="34">
        <v>1186</v>
      </c>
      <c r="DF9" s="34">
        <v>1181.2</v>
      </c>
      <c r="DG9" s="34">
        <v>1162.5999999999999</v>
      </c>
      <c r="DH9" s="34">
        <v>1165</v>
      </c>
      <c r="DI9" s="34">
        <v>1157.9000000000001</v>
      </c>
      <c r="DJ9" s="34">
        <v>1164</v>
      </c>
      <c r="DK9" s="34">
        <v>1131.5999999999999</v>
      </c>
      <c r="DL9" s="34">
        <v>1118.2</v>
      </c>
      <c r="DM9" s="34">
        <v>1201.43</v>
      </c>
      <c r="DN9" s="34">
        <v>1240</v>
      </c>
      <c r="DO9" s="34">
        <v>1187.5999999999999</v>
      </c>
      <c r="DP9" s="34">
        <v>1198.3</v>
      </c>
      <c r="DQ9" s="34">
        <v>1141.9000000000001</v>
      </c>
      <c r="DR9" s="34">
        <v>1129.55</v>
      </c>
      <c r="DS9" s="34">
        <v>1155.5</v>
      </c>
      <c r="DT9" s="34">
        <v>1126.0999999999999</v>
      </c>
      <c r="DU9" s="34">
        <v>1123.95</v>
      </c>
      <c r="DV9" s="34">
        <v>1129.0999999999999</v>
      </c>
      <c r="DW9" s="34">
        <v>1102</v>
      </c>
      <c r="DX9" s="34">
        <v>1073.2</v>
      </c>
      <c r="DY9" s="34">
        <v>1076.7</v>
      </c>
      <c r="DZ9" s="34">
        <v>1069.9000000000001</v>
      </c>
      <c r="EA9" s="34">
        <v>1052</v>
      </c>
      <c r="EB9" s="34">
        <v>1072</v>
      </c>
      <c r="EC9" s="34">
        <v>1177.3</v>
      </c>
      <c r="ED9" s="34">
        <v>1104.45</v>
      </c>
      <c r="EE9" s="34">
        <v>1142.55</v>
      </c>
      <c r="EF9" s="34">
        <v>1153.93</v>
      </c>
      <c r="EG9" s="34">
        <v>1129.0999999999999</v>
      </c>
      <c r="EH9" s="34">
        <v>1122.3</v>
      </c>
      <c r="EI9" s="34">
        <v>1136.7</v>
      </c>
      <c r="EJ9" s="34">
        <v>1132.55</v>
      </c>
      <c r="EK9" s="34">
        <v>1184.9000000000001</v>
      </c>
      <c r="EL9" s="34">
        <v>1156.4000000000001</v>
      </c>
      <c r="EM9" s="34">
        <v>1135.7</v>
      </c>
      <c r="EN9" s="34">
        <v>1135.2</v>
      </c>
      <c r="EO9" s="34">
        <v>1116.0999999999999</v>
      </c>
      <c r="EP9" s="34">
        <v>1096.8</v>
      </c>
      <c r="EQ9" s="34">
        <v>1083.8</v>
      </c>
      <c r="ER9" s="34">
        <v>1068.5</v>
      </c>
      <c r="ES9" s="34">
        <v>1088.2</v>
      </c>
      <c r="ET9" s="34">
        <v>1081.4000000000001</v>
      </c>
      <c r="EU9" s="34">
        <v>1112.1500000000001</v>
      </c>
      <c r="EV9" s="34">
        <v>1103.95</v>
      </c>
      <c r="EW9" s="34">
        <v>1126</v>
      </c>
      <c r="EX9" s="34">
        <v>1144</v>
      </c>
      <c r="EY9" s="34">
        <v>1116.5999999999999</v>
      </c>
      <c r="EZ9" s="34">
        <v>1111.2</v>
      </c>
      <c r="FA9" s="34">
        <v>1076.75</v>
      </c>
      <c r="FB9" s="34">
        <v>1059.4000000000001</v>
      </c>
      <c r="FC9" s="34">
        <v>1059.5</v>
      </c>
      <c r="FD9" s="59">
        <v>1054.1500000000001</v>
      </c>
      <c r="FE9" s="59">
        <v>1078.8</v>
      </c>
      <c r="FF9" s="59">
        <v>1063.8</v>
      </c>
      <c r="FG9" s="59">
        <v>1067.1300000000001</v>
      </c>
      <c r="FH9" s="59">
        <v>1031.4000000000001</v>
      </c>
      <c r="FI9" s="59">
        <v>1020.1</v>
      </c>
      <c r="FJ9" s="59">
        <v>1013.3</v>
      </c>
      <c r="FK9" s="59">
        <v>1025.8</v>
      </c>
      <c r="FL9" s="59">
        <v>1015.5</v>
      </c>
      <c r="FM9" s="59">
        <v>1056.25</v>
      </c>
      <c r="FN9" s="59">
        <v>1053.4000000000001</v>
      </c>
      <c r="FO9" s="59">
        <v>1102.4000000000001</v>
      </c>
      <c r="FP9" s="59">
        <v>1095.75</v>
      </c>
      <c r="FQ9" s="59">
        <v>1099.0999999999999</v>
      </c>
      <c r="FR9" s="59">
        <v>1099.4000000000001</v>
      </c>
      <c r="FS9" s="59">
        <v>1107.3</v>
      </c>
      <c r="FT9" s="59">
        <v>1069.25</v>
      </c>
      <c r="FU9" s="59">
        <v>1107.25</v>
      </c>
      <c r="FV9" s="59">
        <v>1119.3</v>
      </c>
      <c r="FW9" s="59">
        <v>1169.8800000000001</v>
      </c>
      <c r="FX9" s="59">
        <v>1181.7</v>
      </c>
      <c r="FY9" s="59">
        <v>1195.8</v>
      </c>
      <c r="FZ9" s="59">
        <v>1137.55</v>
      </c>
      <c r="GA9" s="59">
        <v>1156.9000000000001</v>
      </c>
      <c r="GB9" s="59">
        <v>1176.2</v>
      </c>
      <c r="GC9" s="59">
        <v>1206.72</v>
      </c>
      <c r="GD9" s="59">
        <v>1244.3699999999999</v>
      </c>
      <c r="GE9" s="59">
        <v>1145.6600000000001</v>
      </c>
      <c r="GF9" s="59">
        <v>1136.3</v>
      </c>
      <c r="GG9" s="59">
        <v>1188.45</v>
      </c>
      <c r="GH9" s="59">
        <v>1152.94</v>
      </c>
      <c r="GI9" s="59">
        <v>1123.03</v>
      </c>
      <c r="GJ9" s="59">
        <v>1118.4000000000001</v>
      </c>
      <c r="GK9" s="59">
        <v>1092.28</v>
      </c>
      <c r="GL9" s="59">
        <v>1147.0999999999999</v>
      </c>
      <c r="GM9" s="59">
        <v>1166.29</v>
      </c>
      <c r="GN9" s="59">
        <v>1207.6500000000001</v>
      </c>
      <c r="GO9" s="59">
        <v>1168.18</v>
      </c>
      <c r="GP9" s="59">
        <v>1134.7</v>
      </c>
      <c r="GQ9" s="59">
        <v>1118.8800000000001</v>
      </c>
      <c r="GR9" s="59">
        <v>1130.1500000000001</v>
      </c>
      <c r="GS9" s="59">
        <v>1123.4000000000001</v>
      </c>
      <c r="GT9" s="59">
        <v>1145.43</v>
      </c>
      <c r="GU9" s="59">
        <v>1124.25</v>
      </c>
      <c r="GV9" s="59">
        <v>1124.4000000000001</v>
      </c>
      <c r="GW9" s="59">
        <v>1148.9000000000001</v>
      </c>
      <c r="GX9" s="59">
        <v>1122.8</v>
      </c>
      <c r="GY9" s="59">
        <v>1082.3</v>
      </c>
      <c r="GZ9" s="59">
        <v>1068.96</v>
      </c>
      <c r="HA9" s="59">
        <v>1070.43</v>
      </c>
      <c r="HB9" s="59">
        <v>1079.7</v>
      </c>
      <c r="HC9" s="59">
        <v>1063.18</v>
      </c>
      <c r="HD9" s="59">
        <v>1076.5</v>
      </c>
      <c r="HE9" s="59">
        <v>1077.4000000000001</v>
      </c>
      <c r="HF9" s="59">
        <v>1120</v>
      </c>
      <c r="HG9" s="59">
        <v>1116.9000000000001</v>
      </c>
      <c r="HH9" s="59">
        <v>1114.9000000000001</v>
      </c>
      <c r="HI9" s="59">
        <v>1114.05</v>
      </c>
      <c r="HJ9" s="59">
        <v>1140.0999999999999</v>
      </c>
      <c r="HK9" s="91">
        <v>1119</v>
      </c>
      <c r="HL9" s="91">
        <v>1111.4100000000001</v>
      </c>
      <c r="HM9" s="91">
        <v>1111.5999999999999</v>
      </c>
      <c r="HN9" s="91">
        <v>1119.4000000000001</v>
      </c>
      <c r="HO9" s="91">
        <v>1135</v>
      </c>
      <c r="HP9" s="91">
        <v>1160</v>
      </c>
      <c r="HQ9" s="91">
        <v>1192.5</v>
      </c>
      <c r="HR9" s="91">
        <v>1156.5</v>
      </c>
      <c r="HS9" s="91">
        <v>1182.5</v>
      </c>
      <c r="HT9" s="91">
        <v>1209.4000000000001</v>
      </c>
      <c r="HU9" s="91">
        <v>1202.0999999999999</v>
      </c>
      <c r="HV9" s="91">
        <v>1162.52</v>
      </c>
      <c r="HW9" s="91">
        <v>1178.49</v>
      </c>
      <c r="HX9" s="91">
        <v>1156.0999999999999</v>
      </c>
      <c r="HY9" s="91">
        <v>1188.0999999999999</v>
      </c>
      <c r="HZ9" s="91">
        <v>1216.97</v>
      </c>
      <c r="IA9" s="91">
        <v>1221.5</v>
      </c>
      <c r="IB9" s="91">
        <v>1209.98</v>
      </c>
      <c r="IC9" s="91">
        <v>1237.9000000000001</v>
      </c>
      <c r="ID9" s="91">
        <v>1196.71</v>
      </c>
      <c r="IE9" s="91">
        <v>1189</v>
      </c>
      <c r="IF9" s="91">
        <v>1181.5</v>
      </c>
      <c r="IG9" s="91">
        <v>1167.8</v>
      </c>
      <c r="IH9" s="91">
        <v>1129.7</v>
      </c>
      <c r="II9" s="91">
        <v>1104.3</v>
      </c>
      <c r="IJ9" s="91">
        <v>1086.3</v>
      </c>
      <c r="IK9" s="91">
        <v>1113.3800000000001</v>
      </c>
      <c r="IL9" s="91">
        <v>1120.5</v>
      </c>
      <c r="IM9" s="91">
        <v>1133.5</v>
      </c>
      <c r="IN9" s="91">
        <v>1112.55</v>
      </c>
      <c r="IO9" s="91">
        <v>1115.5999999999999</v>
      </c>
      <c r="IP9" s="91">
        <v>1131</v>
      </c>
      <c r="IQ9" s="91">
        <v>1146.01</v>
      </c>
      <c r="IR9" s="91">
        <v>1166.3900000000001</v>
      </c>
      <c r="IS9" s="91">
        <v>1185.03</v>
      </c>
      <c r="IT9" s="91">
        <v>1171.69</v>
      </c>
      <c r="IU9" s="91">
        <v>1188.08</v>
      </c>
      <c r="IV9" s="91">
        <v>1189.1300000000001</v>
      </c>
      <c r="IW9" s="91">
        <v>1205.8</v>
      </c>
      <c r="IX9" s="91">
        <v>1201.44</v>
      </c>
      <c r="IY9" s="91">
        <v>1210.74</v>
      </c>
      <c r="IZ9" s="91">
        <v>1270.3699999999999</v>
      </c>
      <c r="JA9" s="91">
        <v>1238.55</v>
      </c>
      <c r="JB9" s="91">
        <v>1300.75</v>
      </c>
      <c r="JC9" s="91">
        <v>1299.1300000000001</v>
      </c>
      <c r="JD9" s="91">
        <v>1350.39</v>
      </c>
      <c r="JE9" s="91">
        <v>1438.9</v>
      </c>
      <c r="JF9" s="91">
        <v>1421.5</v>
      </c>
      <c r="JG9" s="91">
        <v>1326.92</v>
      </c>
      <c r="JH9" s="91">
        <v>1264.5</v>
      </c>
      <c r="JI9" s="91">
        <v>1231.7</v>
      </c>
      <c r="JJ9" s="91">
        <v>1323</v>
      </c>
      <c r="JK9" s="91">
        <v>1301.3800000000001</v>
      </c>
      <c r="JL9" s="91">
        <v>1338.74</v>
      </c>
      <c r="JM9" s="91">
        <v>1325.5</v>
      </c>
      <c r="JN9" s="91">
        <v>1317.5</v>
      </c>
      <c r="JO9" s="91">
        <v>1274.4000000000001</v>
      </c>
      <c r="JP9" s="91">
        <v>1322.5</v>
      </c>
      <c r="JQ9" s="91">
        <v>1347.67</v>
      </c>
      <c r="JR9" s="91">
        <v>1350.4</v>
      </c>
      <c r="JS9" s="91">
        <v>1290</v>
      </c>
      <c r="JT9" s="91">
        <v>1287.8</v>
      </c>
      <c r="JU9" s="91">
        <v>1334.5</v>
      </c>
      <c r="JV9" s="91">
        <v>1331.08</v>
      </c>
      <c r="JW9" s="91">
        <v>1347.2</v>
      </c>
      <c r="JX9" s="91">
        <v>1381.9</v>
      </c>
      <c r="JY9" s="91">
        <v>1384.7</v>
      </c>
      <c r="JZ9" s="91">
        <v>1376.3</v>
      </c>
      <c r="KA9" s="91">
        <v>1376.1</v>
      </c>
      <c r="KB9" s="91">
        <v>1334.5</v>
      </c>
      <c r="KC9" s="91">
        <v>1310</v>
      </c>
      <c r="KD9" s="91">
        <v>1378.1</v>
      </c>
      <c r="KE9" s="91">
        <v>1394.8</v>
      </c>
      <c r="KF9" s="91">
        <v>1471</v>
      </c>
      <c r="KG9" s="91">
        <v>1451.8</v>
      </c>
      <c r="KH9" s="91">
        <v>1460.3</v>
      </c>
      <c r="KI9" s="91">
        <v>1472.8</v>
      </c>
      <c r="KJ9" s="91">
        <v>1421.6</v>
      </c>
      <c r="KK9" s="91">
        <v>1379.8</v>
      </c>
      <c r="KL9" s="91">
        <v>1353.6</v>
      </c>
      <c r="KM9" s="91">
        <v>1391.6</v>
      </c>
      <c r="KN9" s="91">
        <v>1390.3</v>
      </c>
      <c r="KO9" s="91">
        <v>1402.3</v>
      </c>
      <c r="KP9" s="91">
        <v>1425.9</v>
      </c>
      <c r="KQ9" s="91">
        <v>1470.9</v>
      </c>
      <c r="KR9" s="91">
        <v>1439.5</v>
      </c>
      <c r="KS9" s="91">
        <v>1439.3</v>
      </c>
    </row>
    <row r="10" spans="1:305" ht="23.25" customHeight="1" x14ac:dyDescent="0.2">
      <c r="A10" s="21" t="s">
        <v>41</v>
      </c>
      <c r="B10" s="15" t="s">
        <v>42</v>
      </c>
      <c r="C10" s="73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31">
        <v>7.7979000000000003</v>
      </c>
      <c r="BY10" s="31">
        <v>8.0616000000000003</v>
      </c>
      <c r="BZ10" s="31">
        <v>8.0419999999999998</v>
      </c>
      <c r="CA10" s="31">
        <v>8.0269999999999992</v>
      </c>
      <c r="CB10" s="31">
        <v>8.0161999999999995</v>
      </c>
      <c r="CC10" s="31">
        <v>8.0200999999999993</v>
      </c>
      <c r="CD10" s="31">
        <v>7.9950000000000001</v>
      </c>
      <c r="CE10" s="31">
        <v>7.9791999999999996</v>
      </c>
      <c r="CF10" s="31">
        <v>7.9565000000000001</v>
      </c>
      <c r="CG10" s="31">
        <v>7.9020000000000001</v>
      </c>
      <c r="CH10" s="31">
        <v>7.8788</v>
      </c>
      <c r="CI10" s="31">
        <v>7.8407</v>
      </c>
      <c r="CJ10" s="31">
        <v>7.2941000000000003</v>
      </c>
      <c r="CK10" s="31">
        <v>7.1837999999999997</v>
      </c>
      <c r="CL10" s="31">
        <v>7.11</v>
      </c>
      <c r="CM10" s="31">
        <v>7.0114999999999998</v>
      </c>
      <c r="CN10" s="31">
        <v>6.9844999999999997</v>
      </c>
      <c r="CO10" s="31">
        <v>6.94</v>
      </c>
      <c r="CP10" s="31">
        <v>6.8609999999999998</v>
      </c>
      <c r="CQ10" s="35">
        <v>6.8270999999999997</v>
      </c>
      <c r="CR10" s="35">
        <v>6.8284000000000002</v>
      </c>
      <c r="CS10" s="35">
        <v>6.8170000000000002</v>
      </c>
      <c r="CT10" s="35">
        <v>6.8479999999999999</v>
      </c>
      <c r="CU10" s="35">
        <v>6.8280000000000003</v>
      </c>
      <c r="CV10" s="35">
        <v>6.83</v>
      </c>
      <c r="CW10" s="35">
        <v>6.8380000000000001</v>
      </c>
      <c r="CX10" s="35">
        <v>6.8391000000000002</v>
      </c>
      <c r="CY10" s="35">
        <v>6.8360000000000003</v>
      </c>
      <c r="CZ10" s="35">
        <v>6.8243</v>
      </c>
      <c r="DA10" s="35">
        <v>6.8277999999999999</v>
      </c>
      <c r="DB10" s="35">
        <v>6.8326000000000002</v>
      </c>
      <c r="DC10" s="35">
        <v>6.8310000000000004</v>
      </c>
      <c r="DD10" s="35">
        <v>6.83</v>
      </c>
      <c r="DE10" s="35">
        <v>6.8278999999999996</v>
      </c>
      <c r="DF10" s="35">
        <v>6.8274999999999997</v>
      </c>
      <c r="DG10" s="35">
        <v>6.8284000000000002</v>
      </c>
      <c r="DH10" s="35">
        <v>6.8253000000000004</v>
      </c>
      <c r="DI10" s="35">
        <v>6.8266999999999998</v>
      </c>
      <c r="DJ10" s="35">
        <v>6.8266999999999998</v>
      </c>
      <c r="DK10" s="35">
        <v>6.8257000000000003</v>
      </c>
      <c r="DL10" s="35">
        <v>6.8253000000000004</v>
      </c>
      <c r="DM10" s="35">
        <v>6.8277000000000001</v>
      </c>
      <c r="DN10" s="35">
        <v>6.7976999999999999</v>
      </c>
      <c r="DO10" s="35">
        <v>6.7759</v>
      </c>
      <c r="DP10" s="35">
        <v>6.8029999999999999</v>
      </c>
      <c r="DQ10" s="35">
        <v>6.6867999999999999</v>
      </c>
      <c r="DR10" s="35">
        <v>6.6795</v>
      </c>
      <c r="DS10" s="35">
        <v>6.66</v>
      </c>
      <c r="DT10" s="35">
        <v>6.6070000000000002</v>
      </c>
      <c r="DU10" s="35">
        <v>6.5860000000000003</v>
      </c>
      <c r="DV10" s="35">
        <v>6.5759999999999996</v>
      </c>
      <c r="DW10" s="35">
        <v>6.5559000000000003</v>
      </c>
      <c r="DX10" s="35">
        <v>6.5012999999999996</v>
      </c>
      <c r="DY10" s="35">
        <v>6.4828999999999999</v>
      </c>
      <c r="DZ10" s="35">
        <v>6.4633000000000003</v>
      </c>
      <c r="EA10" s="35">
        <v>6.4419000000000004</v>
      </c>
      <c r="EB10" s="35">
        <v>6.3803000000000001</v>
      </c>
      <c r="EC10" s="35">
        <v>6.4006999999999996</v>
      </c>
      <c r="ED10" s="35">
        <v>6.3594999999999997</v>
      </c>
      <c r="EE10" s="35">
        <v>6.3765999999999998</v>
      </c>
      <c r="EF10" s="35">
        <v>6.3186</v>
      </c>
      <c r="EG10" s="35">
        <v>6.33</v>
      </c>
      <c r="EH10" s="35">
        <v>6.2991000000000001</v>
      </c>
      <c r="EI10" s="35">
        <v>6.3063000000000002</v>
      </c>
      <c r="EJ10" s="35">
        <v>6.3094999999999999</v>
      </c>
      <c r="EK10" s="35">
        <v>6.3575999999999997</v>
      </c>
      <c r="EL10" s="35">
        <v>6.3571999999999997</v>
      </c>
      <c r="EM10" s="35">
        <v>6.3792999999999997</v>
      </c>
      <c r="EN10" s="35">
        <v>6.3493000000000004</v>
      </c>
      <c r="EO10" s="35">
        <v>6.3019999999999996</v>
      </c>
      <c r="EP10" s="35">
        <v>6.2384000000000004</v>
      </c>
      <c r="EQ10" s="35">
        <v>6.2182000000000004</v>
      </c>
      <c r="ER10" s="35">
        <v>6.2314999999999996</v>
      </c>
      <c r="ES10" s="35">
        <v>6.2199</v>
      </c>
      <c r="ET10" s="35">
        <v>6.2262000000000004</v>
      </c>
      <c r="EU10" s="35">
        <v>6.2138</v>
      </c>
      <c r="EV10" s="35">
        <v>6.1550000000000002</v>
      </c>
      <c r="EW10" s="35">
        <v>6.1310000000000002</v>
      </c>
      <c r="EX10" s="35">
        <v>6.1486999999999998</v>
      </c>
      <c r="EY10" s="35">
        <v>6.1310000000000002</v>
      </c>
      <c r="EZ10" s="35">
        <v>6.12</v>
      </c>
      <c r="FA10" s="35">
        <v>6.1177000000000001</v>
      </c>
      <c r="FB10" s="35">
        <v>6.0934999999999997</v>
      </c>
      <c r="FC10" s="35">
        <v>6.0917000000000003</v>
      </c>
      <c r="FD10" s="60">
        <v>6.0614999999999997</v>
      </c>
      <c r="FE10" s="60">
        <v>6.0593000000000004</v>
      </c>
      <c r="FF10" s="60">
        <v>6.1273</v>
      </c>
      <c r="FG10" s="60">
        <v>6.2117000000000004</v>
      </c>
      <c r="FH10" s="60">
        <v>6.2591999999999999</v>
      </c>
      <c r="FI10" s="60">
        <v>6.2388000000000003</v>
      </c>
      <c r="FJ10" s="60">
        <v>6.2176</v>
      </c>
      <c r="FK10" s="60">
        <v>6.1715</v>
      </c>
      <c r="FL10" s="60">
        <v>6.1433</v>
      </c>
      <c r="FM10" s="60">
        <v>6.1516999999999999</v>
      </c>
      <c r="FN10" s="60">
        <v>6.1143999999999998</v>
      </c>
      <c r="FO10" s="60">
        <v>6.1375999999999999</v>
      </c>
      <c r="FP10" s="60">
        <v>6.2008999999999999</v>
      </c>
      <c r="FQ10" s="60">
        <v>6.2462</v>
      </c>
      <c r="FR10" s="60">
        <v>6.2582000000000004</v>
      </c>
      <c r="FS10" s="60">
        <v>6.2073</v>
      </c>
      <c r="FT10" s="60">
        <v>6.1988000000000003</v>
      </c>
      <c r="FU10" s="60">
        <v>6.2005999999999997</v>
      </c>
      <c r="FV10" s="60">
        <v>6.2083000000000004</v>
      </c>
      <c r="FW10" s="60">
        <v>6.2096</v>
      </c>
      <c r="FX10" s="60">
        <v>6.3888999999999996</v>
      </c>
      <c r="FY10" s="60">
        <v>6.3635999999999999</v>
      </c>
      <c r="FZ10" s="60">
        <v>6.3560999999999996</v>
      </c>
      <c r="GA10" s="60">
        <v>6.3939000000000004</v>
      </c>
      <c r="GB10" s="60">
        <v>6.4897</v>
      </c>
      <c r="GC10" s="60">
        <v>6.5743999999999998</v>
      </c>
      <c r="GD10" s="60">
        <v>6.5389999999999997</v>
      </c>
      <c r="GE10" s="60">
        <v>6.4649999999999999</v>
      </c>
      <c r="GF10" s="60">
        <v>6.4736000000000002</v>
      </c>
      <c r="GG10" s="60">
        <v>6.5810000000000004</v>
      </c>
      <c r="GH10" s="60">
        <v>6.6349999999999998</v>
      </c>
      <c r="GI10" s="60">
        <v>6.6539999999999999</v>
      </c>
      <c r="GJ10" s="60">
        <v>6.6769999999999996</v>
      </c>
      <c r="GK10" s="60">
        <v>6.673</v>
      </c>
      <c r="GL10" s="60">
        <v>6.7759999999999998</v>
      </c>
      <c r="GM10" s="60">
        <v>6.8962000000000003</v>
      </c>
      <c r="GN10" s="60">
        <v>6.9547999999999996</v>
      </c>
      <c r="GO10" s="60">
        <v>6.8775000000000004</v>
      </c>
      <c r="GP10" s="60">
        <v>6.8674999999999997</v>
      </c>
      <c r="GQ10" s="60">
        <v>6.8869999999999996</v>
      </c>
      <c r="GR10" s="60">
        <v>6.8958000000000004</v>
      </c>
      <c r="GS10" s="60">
        <v>6.8525</v>
      </c>
      <c r="GT10" s="60">
        <v>6.7839999999999998</v>
      </c>
      <c r="GU10" s="60">
        <v>6.7351999999999999</v>
      </c>
      <c r="GV10" s="60">
        <v>6.5926</v>
      </c>
      <c r="GW10" s="60">
        <v>6.6524999999999999</v>
      </c>
      <c r="GX10" s="60">
        <v>6.6440000000000001</v>
      </c>
      <c r="GY10" s="60">
        <v>6.6094999999999997</v>
      </c>
      <c r="GZ10" s="60">
        <v>6.5324999999999998</v>
      </c>
      <c r="HA10" s="60">
        <v>6.335</v>
      </c>
      <c r="HB10" s="60">
        <v>6.3169000000000004</v>
      </c>
      <c r="HC10" s="60">
        <v>6.2876000000000003</v>
      </c>
      <c r="HD10" s="60">
        <v>6.3304999999999998</v>
      </c>
      <c r="HE10" s="60">
        <v>6.4175000000000004</v>
      </c>
      <c r="HF10" s="60">
        <v>6.6234999999999999</v>
      </c>
      <c r="HG10" s="60">
        <v>6.8102</v>
      </c>
      <c r="HH10" s="60">
        <v>6.8414999999999999</v>
      </c>
      <c r="HI10" s="60">
        <v>6.8879999999999999</v>
      </c>
      <c r="HJ10" s="60">
        <v>6.9663000000000004</v>
      </c>
      <c r="HK10" s="92">
        <v>6.9419000000000004</v>
      </c>
      <c r="HL10" s="92">
        <v>6.8754999999999997</v>
      </c>
      <c r="HM10" s="92">
        <v>6.7152000000000003</v>
      </c>
      <c r="HN10" s="92">
        <v>6.6847000000000003</v>
      </c>
      <c r="HO10" s="92">
        <v>6.7381000000000002</v>
      </c>
      <c r="HP10" s="92">
        <v>6.7332000000000001</v>
      </c>
      <c r="HQ10" s="92">
        <v>6.9010999999999996</v>
      </c>
      <c r="HR10" s="92">
        <v>6.8761999999999999</v>
      </c>
      <c r="HS10" s="92">
        <v>6.8833000000000002</v>
      </c>
      <c r="HT10" s="92">
        <v>7.1433999999999997</v>
      </c>
      <c r="HU10" s="92">
        <v>7.1218000000000004</v>
      </c>
      <c r="HV10" s="92">
        <v>7.0545999999999998</v>
      </c>
      <c r="HW10" s="92">
        <v>7.0347</v>
      </c>
      <c r="HX10" s="92">
        <v>6.9863999999999997</v>
      </c>
      <c r="HY10" s="92">
        <v>6.9108999999999998</v>
      </c>
      <c r="HZ10" s="92">
        <v>7.0037000000000003</v>
      </c>
      <c r="IA10" s="92">
        <v>7.0986000000000002</v>
      </c>
      <c r="IB10" s="92">
        <v>7.0753000000000004</v>
      </c>
      <c r="IC10" s="92">
        <v>7.1447000000000003</v>
      </c>
      <c r="ID10" s="92">
        <v>7.0793999999999997</v>
      </c>
      <c r="IE10" s="92">
        <v>7.008</v>
      </c>
      <c r="IF10" s="92">
        <v>6.8654000000000002</v>
      </c>
      <c r="IG10" s="92">
        <v>6.8148999999999997</v>
      </c>
      <c r="IH10" s="92">
        <v>6.7043999999999997</v>
      </c>
      <c r="II10" s="92">
        <v>6.5762999999999998</v>
      </c>
      <c r="IJ10" s="92">
        <v>6.5220000000000002</v>
      </c>
      <c r="IK10" s="92">
        <v>6.4489999999999998</v>
      </c>
      <c r="IL10" s="92">
        <v>6.4541000000000004</v>
      </c>
      <c r="IM10" s="92">
        <v>6.5712000000000002</v>
      </c>
      <c r="IN10" s="92">
        <v>6.4770000000000003</v>
      </c>
      <c r="IO10" s="92">
        <v>6.3673999999999999</v>
      </c>
      <c r="IP10" s="92">
        <v>6.4634999999999998</v>
      </c>
      <c r="IQ10" s="92">
        <v>6.4561999999999999</v>
      </c>
      <c r="IR10" s="92">
        <v>6.4660000000000002</v>
      </c>
      <c r="IS10" s="92">
        <v>6.4703999999999997</v>
      </c>
      <c r="IT10" s="92">
        <v>6.3914999999999997</v>
      </c>
      <c r="IU10" s="92">
        <v>6.3875000000000002</v>
      </c>
      <c r="IV10" s="92">
        <v>6.3726000000000003</v>
      </c>
      <c r="IW10" s="92">
        <v>6.3609</v>
      </c>
      <c r="IX10" s="92">
        <v>6.3170000000000002</v>
      </c>
      <c r="IY10" s="92">
        <v>6.3470000000000004</v>
      </c>
      <c r="IZ10" s="92">
        <v>6.6254999999999997</v>
      </c>
      <c r="JA10" s="92">
        <v>6.6597</v>
      </c>
      <c r="JB10" s="92">
        <v>6.7</v>
      </c>
      <c r="JC10" s="92">
        <v>6.7465999999999999</v>
      </c>
      <c r="JD10" s="92">
        <v>6.9080000000000004</v>
      </c>
      <c r="JE10" s="92">
        <v>7.1208999999999998</v>
      </c>
      <c r="JF10" s="92">
        <v>7.2499000000000002</v>
      </c>
      <c r="JG10" s="92">
        <v>7.157</v>
      </c>
      <c r="JH10" s="92">
        <v>6.9466000000000001</v>
      </c>
      <c r="JI10" s="92">
        <v>6.7572000000000001</v>
      </c>
      <c r="JJ10" s="92">
        <v>6.9394999999999998</v>
      </c>
      <c r="JK10" s="92">
        <v>6.8730000000000002</v>
      </c>
      <c r="JL10" s="92">
        <v>6.9245000000000001</v>
      </c>
      <c r="JM10" s="92">
        <v>7.1092000000000004</v>
      </c>
      <c r="JN10" s="92">
        <v>7.2649999999999997</v>
      </c>
      <c r="JO10" s="92">
        <v>7.1466000000000003</v>
      </c>
      <c r="JP10" s="92">
        <v>7.2891000000000004</v>
      </c>
      <c r="JQ10" s="92">
        <v>7.2960000000000003</v>
      </c>
      <c r="JR10" s="92">
        <v>7.3174000000000001</v>
      </c>
      <c r="JS10" s="92">
        <v>7.1307</v>
      </c>
      <c r="JT10" s="92">
        <v>7.1020000000000003</v>
      </c>
      <c r="JU10" s="92">
        <v>7.1794000000000002</v>
      </c>
      <c r="JV10" s="92">
        <v>7.1940999999999997</v>
      </c>
      <c r="JW10" s="92">
        <v>7.2230999999999996</v>
      </c>
      <c r="JX10" s="92">
        <v>7.2412000000000001</v>
      </c>
      <c r="JY10" s="92">
        <v>7.2435</v>
      </c>
      <c r="JZ10" s="92">
        <v>7.266</v>
      </c>
      <c r="KA10" s="92">
        <v>7.2270000000000003</v>
      </c>
      <c r="KB10" s="92">
        <v>7.1073000000000004</v>
      </c>
      <c r="KC10" s="92">
        <v>7.0125999999999999</v>
      </c>
      <c r="KD10" s="92">
        <v>7.1178999999999997</v>
      </c>
      <c r="KE10" s="92">
        <v>7.234</v>
      </c>
      <c r="KF10" s="92">
        <v>7.2991999999999999</v>
      </c>
      <c r="KG10" s="92">
        <v>7.2423999999999999</v>
      </c>
      <c r="KH10" s="92">
        <v>7.2832999999999997</v>
      </c>
      <c r="KI10" s="92">
        <v>7.2515999999999998</v>
      </c>
      <c r="KJ10" s="92">
        <v>7.2626999999999997</v>
      </c>
      <c r="KK10" s="92">
        <v>7.1955999999999998</v>
      </c>
      <c r="KL10" s="92">
        <v>7.1651999999999996</v>
      </c>
      <c r="KM10" s="92">
        <v>7.1928000000000001</v>
      </c>
      <c r="KN10" s="92">
        <v>7.13</v>
      </c>
      <c r="KO10" s="92">
        <v>7.1181999999999999</v>
      </c>
      <c r="KP10" s="92">
        <v>7.1143000000000001</v>
      </c>
      <c r="KQ10" s="92">
        <v>7.0781999999999998</v>
      </c>
      <c r="KR10" s="92">
        <v>6.9870000000000001</v>
      </c>
      <c r="KS10" s="92">
        <v>6.9484000000000004</v>
      </c>
    </row>
    <row r="11" spans="1:305" ht="23.25" customHeight="1" x14ac:dyDescent="0.2">
      <c r="A11" s="21" t="s">
        <v>5</v>
      </c>
      <c r="B11" s="15" t="s">
        <v>19</v>
      </c>
      <c r="C11" s="40">
        <v>31.38</v>
      </c>
      <c r="D11" s="10">
        <v>33.1</v>
      </c>
      <c r="E11" s="8">
        <v>32.35</v>
      </c>
      <c r="F11" s="8">
        <v>32.299999999999997</v>
      </c>
      <c r="G11" s="8">
        <v>32.57</v>
      </c>
      <c r="H11" s="8">
        <v>32.869999999999997</v>
      </c>
      <c r="I11" s="10">
        <v>33.92</v>
      </c>
      <c r="J11" s="10">
        <v>34.4</v>
      </c>
      <c r="K11" s="10">
        <v>34.67</v>
      </c>
      <c r="L11" s="10">
        <v>34.520000000000003</v>
      </c>
      <c r="M11" s="10">
        <v>34.520000000000003</v>
      </c>
      <c r="N11" s="10">
        <v>34.47</v>
      </c>
      <c r="O11" s="10">
        <v>34.42</v>
      </c>
      <c r="P11" s="10">
        <v>35.020000000000003</v>
      </c>
      <c r="Q11" s="10">
        <v>34.945</v>
      </c>
      <c r="R11" s="10">
        <v>35.01</v>
      </c>
      <c r="S11" s="10">
        <v>34.909999999999997</v>
      </c>
      <c r="T11" s="10">
        <v>34.68</v>
      </c>
      <c r="U11" s="10">
        <v>33.96</v>
      </c>
      <c r="V11" s="10">
        <v>33.520000000000003</v>
      </c>
      <c r="W11" s="10">
        <v>33.76</v>
      </c>
      <c r="X11" s="10">
        <v>34.15</v>
      </c>
      <c r="Y11" s="10">
        <v>34.82</v>
      </c>
      <c r="Z11" s="10">
        <v>34.79</v>
      </c>
      <c r="AA11" s="10">
        <v>34.78</v>
      </c>
      <c r="AB11" s="10">
        <v>34.840000000000003</v>
      </c>
      <c r="AC11" s="10">
        <v>34.549999999999997</v>
      </c>
      <c r="AD11" s="10">
        <v>34.630000000000003</v>
      </c>
      <c r="AE11" s="10">
        <v>34.75</v>
      </c>
      <c r="AF11" s="10">
        <v>34.79</v>
      </c>
      <c r="AG11" s="10">
        <v>34.65</v>
      </c>
      <c r="AH11" s="10">
        <v>34.51</v>
      </c>
      <c r="AI11" s="10">
        <v>34.299999999999997</v>
      </c>
      <c r="AJ11" s="10">
        <v>34.19</v>
      </c>
      <c r="AK11" s="10">
        <v>33.700000000000003</v>
      </c>
      <c r="AL11" s="10">
        <v>33.880000000000003</v>
      </c>
      <c r="AM11" s="10">
        <v>34.19</v>
      </c>
      <c r="AN11" s="10">
        <v>33.96</v>
      </c>
      <c r="AO11" s="10">
        <v>33.35</v>
      </c>
      <c r="AP11" s="10">
        <v>33.299999999999997</v>
      </c>
      <c r="AQ11" s="10">
        <v>33.08</v>
      </c>
      <c r="AR11" s="10">
        <v>33.25</v>
      </c>
      <c r="AS11" s="10">
        <v>33.35</v>
      </c>
      <c r="AT11" s="10">
        <v>33.619999999999997</v>
      </c>
      <c r="AU11" s="10">
        <v>34</v>
      </c>
      <c r="AV11" s="10">
        <v>33.86</v>
      </c>
      <c r="AW11" s="10">
        <v>34</v>
      </c>
      <c r="AX11" s="10">
        <v>33.6</v>
      </c>
      <c r="AY11" s="10">
        <v>32.15</v>
      </c>
      <c r="AZ11" s="10">
        <v>31.79</v>
      </c>
      <c r="BA11" s="10">
        <v>31.78</v>
      </c>
      <c r="BB11" s="10">
        <v>33.255000000000003</v>
      </c>
      <c r="BC11" s="10">
        <v>31.725999999999999</v>
      </c>
      <c r="BD11" s="10">
        <v>31.145</v>
      </c>
      <c r="BE11" s="10">
        <v>31.349</v>
      </c>
      <c r="BF11" s="10">
        <v>31.65</v>
      </c>
      <c r="BG11" s="10">
        <v>31.864999999999998</v>
      </c>
      <c r="BH11" s="10">
        <v>32.615000000000002</v>
      </c>
      <c r="BI11" s="10">
        <v>33.173000000000002</v>
      </c>
      <c r="BJ11" s="10">
        <v>33.665999999999997</v>
      </c>
      <c r="BK11" s="10">
        <v>33.51</v>
      </c>
      <c r="BL11" s="10">
        <v>32.895000000000003</v>
      </c>
      <c r="BM11" s="10">
        <v>39.115000000000002</v>
      </c>
      <c r="BN11" s="10">
        <v>32.445</v>
      </c>
      <c r="BO11" s="10">
        <v>32.53</v>
      </c>
      <c r="BP11" s="10">
        <v>31.914000000000001</v>
      </c>
      <c r="BQ11" s="10">
        <v>32.014000000000003</v>
      </c>
      <c r="BR11" s="10">
        <v>32.6</v>
      </c>
      <c r="BS11" s="10">
        <v>32.780999999999999</v>
      </c>
      <c r="BT11" s="10">
        <v>32.89</v>
      </c>
      <c r="BU11" s="10">
        <v>32.957000000000001</v>
      </c>
      <c r="BV11" s="10">
        <v>33.225000000000001</v>
      </c>
      <c r="BW11" s="10">
        <v>32.494999999999997</v>
      </c>
      <c r="BX11" s="10">
        <v>32.659999999999997</v>
      </c>
      <c r="BY11" s="10">
        <v>32.968000000000004</v>
      </c>
      <c r="BZ11" s="10">
        <v>32.945999999999998</v>
      </c>
      <c r="CA11" s="10">
        <v>33.1</v>
      </c>
      <c r="CB11" s="10">
        <v>33.265000000000001</v>
      </c>
      <c r="CC11" s="10">
        <v>33.008000000000003</v>
      </c>
      <c r="CD11" s="10">
        <v>32.83</v>
      </c>
      <c r="CE11" s="10">
        <v>32.78</v>
      </c>
      <c r="CF11" s="10">
        <v>33.049999999999997</v>
      </c>
      <c r="CG11" s="10">
        <v>32.755000000000003</v>
      </c>
      <c r="CH11" s="10">
        <v>32.39</v>
      </c>
      <c r="CI11" s="10">
        <v>32.295999999999999</v>
      </c>
      <c r="CJ11" s="10">
        <v>32.499000000000002</v>
      </c>
      <c r="CK11" s="10">
        <v>32.171999999999997</v>
      </c>
      <c r="CL11" s="10">
        <v>30.902999999999999</v>
      </c>
      <c r="CM11" s="10">
        <v>30.49</v>
      </c>
      <c r="CN11" s="10">
        <v>30.401</v>
      </c>
      <c r="CO11" s="10">
        <v>30.44</v>
      </c>
      <c r="CP11" s="10">
        <v>30.367000000000001</v>
      </c>
      <c r="CQ11" s="33">
        <v>30.504999999999999</v>
      </c>
      <c r="CR11" s="33">
        <v>30.475999999999999</v>
      </c>
      <c r="CS11" s="33">
        <v>32.002000000000002</v>
      </c>
      <c r="CT11" s="33">
        <v>33.283000000000001</v>
      </c>
      <c r="CU11" s="33">
        <v>33.295000000000002</v>
      </c>
      <c r="CV11" s="33">
        <v>32.750999999999998</v>
      </c>
      <c r="CW11" s="33">
        <v>33.682000000000002</v>
      </c>
      <c r="CX11" s="33">
        <v>34.841000000000001</v>
      </c>
      <c r="CY11" s="33">
        <v>33.99</v>
      </c>
      <c r="CZ11" s="33">
        <v>33.645000000000003</v>
      </c>
      <c r="DA11" s="33">
        <v>32.53</v>
      </c>
      <c r="DB11" s="33">
        <v>32.93</v>
      </c>
      <c r="DC11" s="33">
        <v>32.780999999999999</v>
      </c>
      <c r="DD11" s="33">
        <v>32.914999999999999</v>
      </c>
      <c r="DE11" s="33">
        <v>32.369999999999997</v>
      </c>
      <c r="DF11" s="33">
        <v>32.494999999999997</v>
      </c>
      <c r="DG11" s="33">
        <v>32.299999999999997</v>
      </c>
      <c r="DH11" s="33">
        <v>32.162999999999997</v>
      </c>
      <c r="DI11" s="33">
        <v>31.97</v>
      </c>
      <c r="DJ11" s="33">
        <v>33.06</v>
      </c>
      <c r="DK11" s="33">
        <v>31.783999999999999</v>
      </c>
      <c r="DL11" s="33">
        <v>31.39</v>
      </c>
      <c r="DM11" s="33">
        <v>31.956</v>
      </c>
      <c r="DN11" s="33">
        <v>32.270000000000003</v>
      </c>
      <c r="DO11" s="33">
        <v>31.97</v>
      </c>
      <c r="DP11" s="33">
        <v>32.049999999999997</v>
      </c>
      <c r="DQ11" s="33">
        <v>31.23</v>
      </c>
      <c r="DR11" s="33">
        <v>30.731000000000002</v>
      </c>
      <c r="DS11" s="33">
        <v>30.405999999999999</v>
      </c>
      <c r="DT11" s="33">
        <v>29.11</v>
      </c>
      <c r="DU11" s="33">
        <v>29</v>
      </c>
      <c r="DV11" s="33">
        <v>29.74</v>
      </c>
      <c r="DW11" s="33">
        <v>29.475999999999999</v>
      </c>
      <c r="DX11" s="33">
        <v>28.670999999999999</v>
      </c>
      <c r="DY11" s="33">
        <v>28.765000000000001</v>
      </c>
      <c r="DZ11" s="33">
        <v>28.870999999999999</v>
      </c>
      <c r="EA11" s="33">
        <v>28.788</v>
      </c>
      <c r="EB11" s="33">
        <v>29.021999999999998</v>
      </c>
      <c r="EC11" s="33">
        <v>30.405000000000001</v>
      </c>
      <c r="ED11" s="33">
        <v>30.052</v>
      </c>
      <c r="EE11" s="33">
        <v>30.373000000000001</v>
      </c>
      <c r="EF11" s="33">
        <v>30.364000000000001</v>
      </c>
      <c r="EG11" s="33">
        <v>29.734999999999999</v>
      </c>
      <c r="EH11" s="33">
        <v>29.57</v>
      </c>
      <c r="EI11" s="33">
        <v>29.545999999999999</v>
      </c>
      <c r="EJ11" s="33">
        <v>29.27</v>
      </c>
      <c r="EK11" s="33">
        <v>29.702999999999999</v>
      </c>
      <c r="EL11" s="33">
        <v>29.914999999999999</v>
      </c>
      <c r="EM11" s="33">
        <v>30.048999999999999</v>
      </c>
      <c r="EN11" s="33">
        <v>29.925000000000001</v>
      </c>
      <c r="EO11" s="33">
        <v>29.353000000000002</v>
      </c>
      <c r="EP11" s="33">
        <v>29.254999999999999</v>
      </c>
      <c r="EQ11" s="33">
        <v>29.1</v>
      </c>
      <c r="ER11" s="33">
        <v>29.03</v>
      </c>
      <c r="ES11" s="33">
        <v>29.486000000000001</v>
      </c>
      <c r="ET11" s="33">
        <v>29.658000000000001</v>
      </c>
      <c r="EU11" s="33">
        <v>29.884</v>
      </c>
      <c r="EV11" s="33">
        <v>29.51</v>
      </c>
      <c r="EW11" s="33">
        <v>29.97</v>
      </c>
      <c r="EX11" s="33">
        <v>30.01</v>
      </c>
      <c r="EY11" s="33">
        <v>29.93</v>
      </c>
      <c r="EZ11" s="33">
        <v>29.95</v>
      </c>
      <c r="FA11" s="33">
        <v>29.55</v>
      </c>
      <c r="FB11" s="33">
        <v>29.39</v>
      </c>
      <c r="FC11" s="33">
        <v>29.61</v>
      </c>
      <c r="FD11" s="58">
        <v>29.9</v>
      </c>
      <c r="FE11" s="58">
        <v>30.35</v>
      </c>
      <c r="FF11" s="58">
        <v>30.3</v>
      </c>
      <c r="FG11" s="58">
        <v>30.49</v>
      </c>
      <c r="FH11" s="58">
        <v>30.18</v>
      </c>
      <c r="FI11" s="58">
        <v>30.03</v>
      </c>
      <c r="FJ11" s="58">
        <v>29.9</v>
      </c>
      <c r="FK11" s="58">
        <v>29.95</v>
      </c>
      <c r="FL11" s="58">
        <v>29.9</v>
      </c>
      <c r="FM11" s="58">
        <v>30.48</v>
      </c>
      <c r="FN11" s="58">
        <v>30.38</v>
      </c>
      <c r="FO11" s="58">
        <v>30.86</v>
      </c>
      <c r="FP11" s="58">
        <v>31.73</v>
      </c>
      <c r="FQ11" s="58">
        <v>31.5</v>
      </c>
      <c r="FR11" s="58">
        <v>31.36</v>
      </c>
      <c r="FS11" s="58">
        <v>31.3</v>
      </c>
      <c r="FT11" s="58">
        <v>30.46</v>
      </c>
      <c r="FU11" s="58">
        <v>30.59</v>
      </c>
      <c r="FV11" s="58">
        <v>30.97</v>
      </c>
      <c r="FW11" s="58">
        <v>31.53</v>
      </c>
      <c r="FX11" s="58">
        <v>32.24</v>
      </c>
      <c r="FY11" s="58">
        <v>33.119999999999997</v>
      </c>
      <c r="FZ11" s="58">
        <v>32.61</v>
      </c>
      <c r="GA11" s="58">
        <v>32.65</v>
      </c>
      <c r="GB11" s="58">
        <v>32.93</v>
      </c>
      <c r="GC11" s="58">
        <v>33.58</v>
      </c>
      <c r="GD11" s="58">
        <v>33.22</v>
      </c>
      <c r="GE11" s="58">
        <v>32.26</v>
      </c>
      <c r="GF11" s="58">
        <v>32.28</v>
      </c>
      <c r="GG11" s="58">
        <v>32.619999999999997</v>
      </c>
      <c r="GH11" s="58">
        <v>32.299999999999997</v>
      </c>
      <c r="GI11" s="58">
        <v>31.94</v>
      </c>
      <c r="GJ11" s="58">
        <v>31.71</v>
      </c>
      <c r="GK11" s="58">
        <v>31.34</v>
      </c>
      <c r="GL11" s="58">
        <v>31.6</v>
      </c>
      <c r="GM11" s="58">
        <v>31.82</v>
      </c>
      <c r="GN11" s="58">
        <v>32.299999999999997</v>
      </c>
      <c r="GO11" s="58">
        <v>31.52</v>
      </c>
      <c r="GP11" s="58">
        <v>30.65</v>
      </c>
      <c r="GQ11" s="58">
        <v>30.3</v>
      </c>
      <c r="GR11" s="58">
        <v>30.16</v>
      </c>
      <c r="GS11" s="58">
        <v>30.2</v>
      </c>
      <c r="GT11" s="58">
        <v>30.38</v>
      </c>
      <c r="GU11" s="58">
        <v>30.23</v>
      </c>
      <c r="GV11" s="58">
        <v>30.12</v>
      </c>
      <c r="GW11" s="58">
        <v>30.37</v>
      </c>
      <c r="GX11" s="58">
        <v>30.19</v>
      </c>
      <c r="GY11" s="58">
        <v>29.96</v>
      </c>
      <c r="GZ11" s="58">
        <v>29.76</v>
      </c>
      <c r="HA11" s="58">
        <v>29.16</v>
      </c>
      <c r="HB11" s="58">
        <v>29.22</v>
      </c>
      <c r="HC11" s="58">
        <v>29.17</v>
      </c>
      <c r="HD11" s="58">
        <v>29.63</v>
      </c>
      <c r="HE11" s="58">
        <v>30.02</v>
      </c>
      <c r="HF11" s="58">
        <v>30.57</v>
      </c>
      <c r="HG11" s="58">
        <v>30.6</v>
      </c>
      <c r="HH11" s="58">
        <v>30.68</v>
      </c>
      <c r="HI11" s="58">
        <v>30.57</v>
      </c>
      <c r="HJ11" s="58">
        <v>30.98</v>
      </c>
      <c r="HK11" s="90">
        <v>30.81</v>
      </c>
      <c r="HL11" s="90">
        <v>30.54</v>
      </c>
      <c r="HM11" s="90">
        <v>30.77</v>
      </c>
      <c r="HN11" s="90">
        <v>30.77</v>
      </c>
      <c r="HO11" s="90">
        <v>30.85</v>
      </c>
      <c r="HP11" s="90">
        <v>30.9</v>
      </c>
      <c r="HQ11" s="90">
        <v>31.6</v>
      </c>
      <c r="HR11" s="90">
        <v>31.09</v>
      </c>
      <c r="HS11" s="90">
        <v>31.06</v>
      </c>
      <c r="HT11" s="90">
        <v>31.42</v>
      </c>
      <c r="HU11" s="90">
        <v>31.03</v>
      </c>
      <c r="HV11" s="90">
        <v>30.44</v>
      </c>
      <c r="HW11" s="90">
        <v>30.5</v>
      </c>
      <c r="HX11" s="90">
        <v>30.01</v>
      </c>
      <c r="HY11" s="90">
        <v>30.26</v>
      </c>
      <c r="HZ11" s="90">
        <v>30.24</v>
      </c>
      <c r="IA11" s="90">
        <v>30.2</v>
      </c>
      <c r="IB11" s="90">
        <v>29.89</v>
      </c>
      <c r="IC11" s="90">
        <v>30.01</v>
      </c>
      <c r="ID11" s="90">
        <v>29.46</v>
      </c>
      <c r="IE11" s="90">
        <v>29.3</v>
      </c>
      <c r="IF11" s="90">
        <v>29.44</v>
      </c>
      <c r="IG11" s="90">
        <v>29</v>
      </c>
      <c r="IH11" s="90">
        <v>28.56</v>
      </c>
      <c r="II11" s="90">
        <v>28.5</v>
      </c>
      <c r="IJ11" s="90">
        <v>28.1</v>
      </c>
      <c r="IK11" s="90">
        <v>28.03</v>
      </c>
      <c r="IL11" s="90">
        <v>27.77</v>
      </c>
      <c r="IM11" s="90">
        <v>28.52</v>
      </c>
      <c r="IN11" s="90">
        <v>27.91</v>
      </c>
      <c r="IO11" s="90">
        <v>27.71</v>
      </c>
      <c r="IP11" s="90">
        <v>27.9</v>
      </c>
      <c r="IQ11" s="90">
        <v>27.91</v>
      </c>
      <c r="IR11" s="90">
        <v>27.76</v>
      </c>
      <c r="IS11" s="90">
        <v>27.79</v>
      </c>
      <c r="IT11" s="90">
        <v>27.79</v>
      </c>
      <c r="IU11" s="90">
        <v>27.78</v>
      </c>
      <c r="IV11" s="90">
        <v>27.67</v>
      </c>
      <c r="IW11" s="90">
        <v>27.82</v>
      </c>
      <c r="IX11" s="90">
        <v>27.98</v>
      </c>
      <c r="IY11" s="90">
        <v>28.54</v>
      </c>
      <c r="IZ11" s="90">
        <v>29.51</v>
      </c>
      <c r="JA11" s="90">
        <v>28.95</v>
      </c>
      <c r="JB11" s="90">
        <v>29.67</v>
      </c>
      <c r="JC11" s="90">
        <v>29.93</v>
      </c>
      <c r="JD11" s="90">
        <v>30.43</v>
      </c>
      <c r="JE11" s="90">
        <v>31.85</v>
      </c>
      <c r="JF11" s="90">
        <v>32.15</v>
      </c>
      <c r="JG11" s="90">
        <v>30.91</v>
      </c>
      <c r="JH11" s="90">
        <v>30.71</v>
      </c>
      <c r="JI11" s="90">
        <v>30.03</v>
      </c>
      <c r="JJ11" s="90">
        <v>30.46</v>
      </c>
      <c r="JK11" s="90">
        <v>30.48</v>
      </c>
      <c r="JL11" s="90">
        <v>30.74</v>
      </c>
      <c r="JM11" s="90">
        <v>30.74</v>
      </c>
      <c r="JN11" s="90">
        <v>31.14</v>
      </c>
      <c r="JO11" s="90">
        <v>31.42</v>
      </c>
      <c r="JP11" s="90">
        <v>31.85</v>
      </c>
      <c r="JQ11" s="90">
        <v>32.24</v>
      </c>
      <c r="JR11" s="90">
        <v>32.42</v>
      </c>
      <c r="JS11" s="90">
        <v>31.24</v>
      </c>
      <c r="JT11" s="90">
        <v>30.68</v>
      </c>
      <c r="JU11" s="90">
        <v>31.29</v>
      </c>
      <c r="JV11" s="90">
        <v>31.58</v>
      </c>
      <c r="JW11" s="90">
        <v>31.99</v>
      </c>
      <c r="JX11" s="90">
        <v>32.54</v>
      </c>
      <c r="JY11" s="90">
        <v>32.4</v>
      </c>
      <c r="JZ11" s="90">
        <v>32.43</v>
      </c>
      <c r="KA11" s="90">
        <v>32.840000000000003</v>
      </c>
      <c r="KB11" s="90">
        <v>31.9</v>
      </c>
      <c r="KC11" s="90">
        <v>31.65</v>
      </c>
      <c r="KD11" s="90">
        <v>32.020000000000003</v>
      </c>
      <c r="KE11" s="90">
        <v>32.46</v>
      </c>
      <c r="KF11" s="90">
        <v>32.78</v>
      </c>
      <c r="KG11" s="90">
        <v>32.68</v>
      </c>
      <c r="KH11" s="90">
        <v>32.82</v>
      </c>
      <c r="KI11" s="90">
        <v>33.18</v>
      </c>
      <c r="KJ11" s="90">
        <v>32.200000000000003</v>
      </c>
      <c r="KK11" s="90">
        <v>29.91</v>
      </c>
      <c r="KL11" s="90">
        <v>29.28</v>
      </c>
      <c r="KM11" s="90">
        <v>29.83</v>
      </c>
      <c r="KN11" s="90">
        <v>30.59</v>
      </c>
      <c r="KO11" s="90">
        <v>30.45</v>
      </c>
      <c r="KP11" s="90">
        <v>30.73</v>
      </c>
      <c r="KQ11" s="90">
        <v>31.4</v>
      </c>
      <c r="KR11" s="90">
        <v>31.4</v>
      </c>
      <c r="KS11" s="90">
        <v>31.46</v>
      </c>
    </row>
    <row r="12" spans="1:305" ht="21" customHeight="1" x14ac:dyDescent="0.25">
      <c r="A12" s="22" t="s">
        <v>33</v>
      </c>
      <c r="B12" s="15"/>
      <c r="C12" s="40"/>
      <c r="D12" s="8"/>
      <c r="E12" s="8"/>
      <c r="F12" s="8"/>
      <c r="G12" s="8"/>
      <c r="H12" s="8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33"/>
      <c r="EV12" s="33"/>
      <c r="EW12" s="33"/>
      <c r="EX12" s="33"/>
      <c r="EY12" s="33"/>
      <c r="EZ12" s="33"/>
      <c r="FA12" s="33"/>
      <c r="FB12" s="33"/>
      <c r="FC12" s="33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0"/>
      <c r="IT12" s="90"/>
      <c r="IU12" s="90"/>
      <c r="IV12" s="90"/>
      <c r="IW12" s="90"/>
      <c r="IX12" s="90"/>
      <c r="IY12" s="90"/>
      <c r="IZ12" s="90"/>
      <c r="JA12" s="90"/>
      <c r="JB12" s="90"/>
      <c r="JC12" s="90"/>
      <c r="JD12" s="90"/>
      <c r="JE12" s="90"/>
      <c r="JF12" s="90"/>
      <c r="JG12" s="90"/>
      <c r="JH12" s="90"/>
      <c r="JI12" s="90"/>
      <c r="JJ12" s="90"/>
      <c r="JK12" s="90"/>
      <c r="JL12" s="90"/>
      <c r="JM12" s="90"/>
      <c r="JN12" s="90"/>
      <c r="JO12" s="90"/>
      <c r="JP12" s="90"/>
      <c r="JQ12" s="90"/>
      <c r="JR12" s="90"/>
      <c r="JS12" s="90"/>
      <c r="JT12" s="90"/>
      <c r="JU12" s="90"/>
      <c r="JV12" s="90"/>
      <c r="JW12" s="90"/>
      <c r="JX12" s="90"/>
      <c r="JY12" s="90"/>
      <c r="JZ12" s="90"/>
      <c r="KA12" s="90"/>
      <c r="KB12" s="90"/>
      <c r="KC12" s="90"/>
      <c r="KD12" s="90"/>
      <c r="KE12" s="90"/>
      <c r="KF12" s="90"/>
      <c r="KG12" s="90"/>
      <c r="KH12" s="90"/>
      <c r="KI12" s="90"/>
      <c r="KJ12" s="90"/>
      <c r="KK12" s="90"/>
      <c r="KL12" s="90"/>
      <c r="KM12" s="90"/>
      <c r="KN12" s="90"/>
      <c r="KO12" s="90"/>
      <c r="KP12" s="90"/>
      <c r="KQ12" s="90"/>
      <c r="KR12" s="90"/>
      <c r="KS12" s="90"/>
    </row>
    <row r="13" spans="1:305" ht="23.25" customHeight="1" x14ac:dyDescent="0.2">
      <c r="A13" s="28" t="s">
        <v>13</v>
      </c>
      <c r="B13" s="15" t="s">
        <v>30</v>
      </c>
      <c r="C13" s="74">
        <v>3792</v>
      </c>
      <c r="D13" s="19">
        <v>3915</v>
      </c>
      <c r="E13" s="19">
        <v>3918</v>
      </c>
      <c r="F13" s="19">
        <v>3918</v>
      </c>
      <c r="G13" s="19">
        <v>3919</v>
      </c>
      <c r="H13" s="19">
        <v>3935</v>
      </c>
      <c r="I13" s="19">
        <v>3937</v>
      </c>
      <c r="J13" s="19">
        <v>3923</v>
      </c>
      <c r="K13" s="19">
        <v>3944</v>
      </c>
      <c r="L13" s="19">
        <v>3944</v>
      </c>
      <c r="M13" s="19">
        <v>3956</v>
      </c>
      <c r="N13" s="19">
        <v>3954</v>
      </c>
      <c r="O13" s="19">
        <v>3931</v>
      </c>
      <c r="P13" s="19">
        <v>3902</v>
      </c>
      <c r="Q13" s="19">
        <v>3904</v>
      </c>
      <c r="R13" s="19">
        <v>3916</v>
      </c>
      <c r="S13" s="19">
        <v>3900</v>
      </c>
      <c r="T13" s="19">
        <v>3921</v>
      </c>
      <c r="U13" s="19">
        <v>3915</v>
      </c>
      <c r="V13" s="19">
        <v>3921</v>
      </c>
      <c r="W13" s="19">
        <v>3920</v>
      </c>
      <c r="X13" s="19">
        <v>3932</v>
      </c>
      <c r="Y13" s="19">
        <v>3966</v>
      </c>
      <c r="Z13" s="19">
        <v>3952</v>
      </c>
      <c r="AA13" s="19">
        <v>3940</v>
      </c>
      <c r="AB13" s="19">
        <v>3939</v>
      </c>
      <c r="AC13" s="19">
        <v>3945</v>
      </c>
      <c r="AD13" s="19">
        <v>3950</v>
      </c>
      <c r="AE13" s="19">
        <v>3950</v>
      </c>
      <c r="AF13" s="19">
        <v>3993</v>
      </c>
      <c r="AG13" s="19">
        <v>4035</v>
      </c>
      <c r="AH13" s="19">
        <v>3986</v>
      </c>
      <c r="AI13" s="19">
        <v>3990</v>
      </c>
      <c r="AJ13" s="19">
        <v>4041</v>
      </c>
      <c r="AK13" s="19">
        <v>3999</v>
      </c>
      <c r="AL13" s="19">
        <v>3998</v>
      </c>
      <c r="AM13" s="19">
        <v>3998</v>
      </c>
      <c r="AN13" s="19">
        <v>3981</v>
      </c>
      <c r="AO13" s="19">
        <v>3999</v>
      </c>
      <c r="AP13" s="19">
        <v>3997</v>
      </c>
      <c r="AQ13" s="19">
        <v>3992</v>
      </c>
      <c r="AR13" s="19">
        <v>4014</v>
      </c>
      <c r="AS13" s="19">
        <v>4040</v>
      </c>
      <c r="AT13" s="19">
        <v>4030</v>
      </c>
      <c r="AU13" s="19">
        <v>4041</v>
      </c>
      <c r="AV13" s="19">
        <v>4067</v>
      </c>
      <c r="AW13" s="19">
        <v>4089</v>
      </c>
      <c r="AX13" s="19">
        <v>4050</v>
      </c>
      <c r="AY13" s="19">
        <v>4030</v>
      </c>
      <c r="AZ13" s="19">
        <v>4035</v>
      </c>
      <c r="BA13" s="19">
        <v>4035</v>
      </c>
      <c r="BB13" s="19">
        <v>4032</v>
      </c>
      <c r="BC13" s="19">
        <v>4034</v>
      </c>
      <c r="BD13" s="19">
        <v>4055</v>
      </c>
      <c r="BE13" s="19">
        <v>4096</v>
      </c>
      <c r="BF13" s="19">
        <v>4133</v>
      </c>
      <c r="BG13" s="19">
        <v>4205</v>
      </c>
      <c r="BH13" s="19">
        <v>4208</v>
      </c>
      <c r="BI13" s="19">
        <v>4198</v>
      </c>
      <c r="BJ13" s="19">
        <v>4202</v>
      </c>
      <c r="BK13" s="19">
        <v>4178</v>
      </c>
      <c r="BL13" s="19">
        <v>4117</v>
      </c>
      <c r="BM13" s="19">
        <v>4092</v>
      </c>
      <c r="BN13" s="19">
        <v>4088</v>
      </c>
      <c r="BO13" s="19">
        <v>4097</v>
      </c>
      <c r="BP13" s="19">
        <v>4105</v>
      </c>
      <c r="BQ13" s="19">
        <v>4113</v>
      </c>
      <c r="BR13" s="19">
        <v>4118</v>
      </c>
      <c r="BS13" s="19">
        <v>4133</v>
      </c>
      <c r="BT13" s="19">
        <v>4170</v>
      </c>
      <c r="BU13" s="19">
        <v>4188</v>
      </c>
      <c r="BV13" s="19">
        <v>4153</v>
      </c>
      <c r="BW13" s="19">
        <v>4103</v>
      </c>
      <c r="BX13" s="19">
        <v>4058</v>
      </c>
      <c r="BY13" s="19">
        <v>4065</v>
      </c>
      <c r="BZ13" s="19">
        <v>4059</v>
      </c>
      <c r="CA13" s="19">
        <v>4057</v>
      </c>
      <c r="CB13" s="19">
        <v>4069</v>
      </c>
      <c r="CC13" s="19">
        <v>4091</v>
      </c>
      <c r="CD13" s="19">
        <v>4096</v>
      </c>
      <c r="CE13" s="19">
        <v>4092</v>
      </c>
      <c r="CF13" s="19">
        <v>4084</v>
      </c>
      <c r="CG13" s="19">
        <v>4078</v>
      </c>
      <c r="CH13" s="19">
        <v>4052</v>
      </c>
      <c r="CI13" s="19">
        <v>4013</v>
      </c>
      <c r="CJ13" s="19">
        <v>4000</v>
      </c>
      <c r="CK13" s="19">
        <v>3997</v>
      </c>
      <c r="CL13" s="19">
        <v>3994</v>
      </c>
      <c r="CM13" s="19">
        <v>3997</v>
      </c>
      <c r="CN13" s="19">
        <v>4006</v>
      </c>
      <c r="CO13" s="19">
        <v>4097</v>
      </c>
      <c r="CP13" s="19">
        <v>4124</v>
      </c>
      <c r="CQ13" s="36">
        <v>4116</v>
      </c>
      <c r="CR13" s="36">
        <v>4125</v>
      </c>
      <c r="CS13" s="36">
        <v>4123</v>
      </c>
      <c r="CT13" s="36">
        <v>4119</v>
      </c>
      <c r="CU13" s="36">
        <v>4069</v>
      </c>
      <c r="CV13" s="36">
        <v>4108</v>
      </c>
      <c r="CW13" s="36">
        <v>4125</v>
      </c>
      <c r="CX13" s="36">
        <v>4123</v>
      </c>
      <c r="CY13" s="36">
        <v>4093</v>
      </c>
      <c r="CZ13" s="36">
        <v>4131</v>
      </c>
      <c r="DA13" s="36">
        <v>4143</v>
      </c>
      <c r="DB13" s="36">
        <v>4182</v>
      </c>
      <c r="DC13" s="36">
        <v>4244</v>
      </c>
      <c r="DD13" s="36">
        <v>4175</v>
      </c>
      <c r="DE13" s="36">
        <v>4216</v>
      </c>
      <c r="DF13" s="36">
        <v>4193</v>
      </c>
      <c r="DG13" s="36">
        <v>4164</v>
      </c>
      <c r="DH13" s="36">
        <v>4181</v>
      </c>
      <c r="DI13" s="36">
        <v>4185</v>
      </c>
      <c r="DJ13" s="36">
        <v>4194</v>
      </c>
      <c r="DK13" s="36">
        <v>4189</v>
      </c>
      <c r="DL13" s="36">
        <v>4217</v>
      </c>
      <c r="DM13" s="36">
        <v>4248</v>
      </c>
      <c r="DN13" s="36">
        <v>4266</v>
      </c>
      <c r="DO13" s="36">
        <v>4260</v>
      </c>
      <c r="DP13" s="36">
        <v>4257</v>
      </c>
      <c r="DQ13" s="36">
        <v>4245</v>
      </c>
      <c r="DR13" s="36">
        <v>4216</v>
      </c>
      <c r="DS13" s="36">
        <v>4074</v>
      </c>
      <c r="DT13" s="36">
        <v>4048</v>
      </c>
      <c r="DU13" s="36">
        <v>4052</v>
      </c>
      <c r="DV13" s="36">
        <v>4034</v>
      </c>
      <c r="DW13" s="36">
        <v>4007</v>
      </c>
      <c r="DX13" s="36">
        <v>4060</v>
      </c>
      <c r="DY13" s="36">
        <v>4094</v>
      </c>
      <c r="DZ13" s="36">
        <v>4122</v>
      </c>
      <c r="EA13" s="36">
        <v>4098</v>
      </c>
      <c r="EB13" s="36">
        <v>4096</v>
      </c>
      <c r="EC13" s="36">
        <v>4084</v>
      </c>
      <c r="ED13" s="36">
        <v>4092</v>
      </c>
      <c r="EE13" s="36">
        <v>4030</v>
      </c>
      <c r="EF13" s="36">
        <v>4057</v>
      </c>
      <c r="EG13" s="36">
        <v>4073</v>
      </c>
      <c r="EH13" s="36">
        <v>4013</v>
      </c>
      <c r="EI13" s="36">
        <v>3995</v>
      </c>
      <c r="EJ13" s="36">
        <v>4042</v>
      </c>
      <c r="EK13" s="36">
        <v>4095</v>
      </c>
      <c r="EL13" s="36">
        <v>4090</v>
      </c>
      <c r="EM13" s="36">
        <v>4077</v>
      </c>
      <c r="EN13" s="36">
        <v>4053</v>
      </c>
      <c r="EO13" s="36">
        <v>4055</v>
      </c>
      <c r="EP13" s="36">
        <v>4025</v>
      </c>
      <c r="EQ13" s="36">
        <v>3995</v>
      </c>
      <c r="ER13" s="36">
        <v>3990</v>
      </c>
      <c r="ES13" s="36">
        <v>3980</v>
      </c>
      <c r="ET13" s="36">
        <v>3980</v>
      </c>
      <c r="EU13" s="36">
        <v>3983</v>
      </c>
      <c r="EV13" s="36">
        <v>4055</v>
      </c>
      <c r="EW13" s="36">
        <v>4092</v>
      </c>
      <c r="EX13" s="36">
        <v>4085</v>
      </c>
      <c r="EY13" s="36">
        <v>4094</v>
      </c>
      <c r="EZ13" s="36">
        <v>4092</v>
      </c>
      <c r="FA13" s="36">
        <v>4067</v>
      </c>
      <c r="FB13" s="36">
        <v>4031</v>
      </c>
      <c r="FC13" s="36">
        <v>3994</v>
      </c>
      <c r="FD13" s="61">
        <v>4003</v>
      </c>
      <c r="FE13" s="61">
        <v>3995</v>
      </c>
      <c r="FF13" s="61">
        <v>3981</v>
      </c>
      <c r="FG13" s="61">
        <v>3995</v>
      </c>
      <c r="FH13" s="61">
        <v>4012</v>
      </c>
      <c r="FI13" s="61">
        <v>4043</v>
      </c>
      <c r="FJ13" s="61">
        <v>4047</v>
      </c>
      <c r="FK13" s="61">
        <v>4054</v>
      </c>
      <c r="FL13" s="61">
        <v>4074</v>
      </c>
      <c r="FM13" s="61">
        <v>4087</v>
      </c>
      <c r="FN13" s="61">
        <v>4074</v>
      </c>
      <c r="FO13" s="61">
        <v>4055</v>
      </c>
      <c r="FP13" s="61">
        <v>4064</v>
      </c>
      <c r="FQ13" s="61">
        <v>4059</v>
      </c>
      <c r="FR13" s="61">
        <v>4032</v>
      </c>
      <c r="FS13" s="61">
        <v>4010</v>
      </c>
      <c r="FT13" s="61">
        <v>4066</v>
      </c>
      <c r="FU13" s="61">
        <v>4086</v>
      </c>
      <c r="FV13" s="61">
        <v>4094</v>
      </c>
      <c r="FW13" s="61">
        <v>4113</v>
      </c>
      <c r="FX13" s="61">
        <v>4098</v>
      </c>
      <c r="FY13" s="61">
        <v>4074</v>
      </c>
      <c r="FZ13" s="61">
        <v>4049</v>
      </c>
      <c r="GA13" s="61">
        <v>4044</v>
      </c>
      <c r="GB13" s="61">
        <v>4048</v>
      </c>
      <c r="GC13" s="61">
        <v>4037</v>
      </c>
      <c r="GD13" s="61">
        <v>4010</v>
      </c>
      <c r="GE13" s="61">
        <v>4010</v>
      </c>
      <c r="GF13" s="61">
        <v>4061</v>
      </c>
      <c r="GG13" s="61">
        <v>4082</v>
      </c>
      <c r="GH13" s="61">
        <v>4081</v>
      </c>
      <c r="GI13" s="61">
        <v>4094</v>
      </c>
      <c r="GJ13" s="61">
        <v>4096</v>
      </c>
      <c r="GK13" s="61">
        <v>4086</v>
      </c>
      <c r="GL13" s="61">
        <v>4053</v>
      </c>
      <c r="GM13" s="61">
        <v>4032</v>
      </c>
      <c r="GN13" s="61">
        <v>4039</v>
      </c>
      <c r="GO13" s="61">
        <v>4039</v>
      </c>
      <c r="GP13" s="61">
        <v>4002</v>
      </c>
      <c r="GQ13" s="61">
        <v>4004</v>
      </c>
      <c r="GR13" s="61">
        <v>4039</v>
      </c>
      <c r="GS13" s="61">
        <v>4069</v>
      </c>
      <c r="GT13" s="61">
        <v>4084</v>
      </c>
      <c r="GU13" s="61">
        <v>4094</v>
      </c>
      <c r="GV13" s="61">
        <v>4053</v>
      </c>
      <c r="GW13" s="61">
        <v>4070</v>
      </c>
      <c r="GX13" s="61">
        <v>4047</v>
      </c>
      <c r="GY13" s="61">
        <v>4034</v>
      </c>
      <c r="GZ13" s="61">
        <v>4037</v>
      </c>
      <c r="HA13" s="61">
        <v>4016</v>
      </c>
      <c r="HB13" s="61">
        <v>4009</v>
      </c>
      <c r="HC13" s="61">
        <v>4002</v>
      </c>
      <c r="HD13" s="61">
        <v>4038</v>
      </c>
      <c r="HE13" s="61">
        <v>4077</v>
      </c>
      <c r="HF13" s="61">
        <v>4066</v>
      </c>
      <c r="HG13" s="61">
        <v>4064</v>
      </c>
      <c r="HH13" s="61">
        <v>4079</v>
      </c>
      <c r="HI13" s="61">
        <v>4082</v>
      </c>
      <c r="HJ13" s="61">
        <v>4058</v>
      </c>
      <c r="HK13" s="93">
        <v>4038</v>
      </c>
      <c r="HL13" s="93">
        <v>4027</v>
      </c>
      <c r="HM13" s="93">
        <v>4016</v>
      </c>
      <c r="HN13" s="93">
        <v>4007</v>
      </c>
      <c r="HO13" s="93">
        <v>4019</v>
      </c>
      <c r="HP13" s="93">
        <v>4049</v>
      </c>
      <c r="HQ13" s="93">
        <v>4064</v>
      </c>
      <c r="HR13" s="93">
        <v>4069</v>
      </c>
      <c r="HS13" s="93">
        <v>4086</v>
      </c>
      <c r="HT13" s="93">
        <v>4086</v>
      </c>
      <c r="HU13" s="93">
        <v>4096</v>
      </c>
      <c r="HV13" s="93">
        <v>4064</v>
      </c>
      <c r="HW13" s="93">
        <v>4074</v>
      </c>
      <c r="HX13" s="93">
        <v>4079</v>
      </c>
      <c r="HY13" s="93">
        <v>4088</v>
      </c>
      <c r="HZ13" s="93">
        <v>4086</v>
      </c>
      <c r="IA13" s="93">
        <v>4084</v>
      </c>
      <c r="IB13" s="93">
        <v>4108</v>
      </c>
      <c r="IC13" s="93">
        <v>4124</v>
      </c>
      <c r="ID13" s="93">
        <v>4102</v>
      </c>
      <c r="IE13" s="93">
        <v>4101</v>
      </c>
      <c r="IF13" s="93">
        <v>4107</v>
      </c>
      <c r="IG13" s="93">
        <v>4109</v>
      </c>
      <c r="IH13" s="93">
        <v>4084</v>
      </c>
      <c r="II13" s="93">
        <v>4069</v>
      </c>
      <c r="IJ13" s="93">
        <v>4069</v>
      </c>
      <c r="IK13" s="93">
        <v>4077</v>
      </c>
      <c r="IL13" s="93">
        <v>4083</v>
      </c>
      <c r="IM13" s="93">
        <v>4062</v>
      </c>
      <c r="IN13" s="93">
        <v>4068</v>
      </c>
      <c r="IO13" s="93">
        <v>4107</v>
      </c>
      <c r="IP13" s="93">
        <v>4102</v>
      </c>
      <c r="IQ13" s="93">
        <v>4107</v>
      </c>
      <c r="IR13" s="93">
        <v>4119</v>
      </c>
      <c r="IS13" s="93">
        <v>4119</v>
      </c>
      <c r="IT13" s="93">
        <v>4099</v>
      </c>
      <c r="IU13" s="93">
        <v>4102</v>
      </c>
      <c r="IV13" s="93">
        <v>4109</v>
      </c>
      <c r="IW13" s="93">
        <v>4088</v>
      </c>
      <c r="IX13" s="93">
        <v>4086</v>
      </c>
      <c r="IY13" s="93">
        <v>4068</v>
      </c>
      <c r="IZ13" s="93">
        <v>4068</v>
      </c>
      <c r="JA13" s="93">
        <v>4088</v>
      </c>
      <c r="JB13" s="93">
        <v>4091</v>
      </c>
      <c r="JC13" s="93">
        <v>4097</v>
      </c>
      <c r="JD13" s="93">
        <v>4104</v>
      </c>
      <c r="JE13" s="93">
        <v>4117</v>
      </c>
      <c r="JF13" s="93">
        <v>4135</v>
      </c>
      <c r="JG13" s="93">
        <v>4110</v>
      </c>
      <c r="JH13" s="93">
        <v>4113</v>
      </c>
      <c r="JI13" s="93">
        <v>4102</v>
      </c>
      <c r="JJ13" s="93">
        <v>4050</v>
      </c>
      <c r="JK13" s="93">
        <v>4051</v>
      </c>
      <c r="JL13" s="93">
        <v>4114</v>
      </c>
      <c r="JM13" s="93">
        <v>4116</v>
      </c>
      <c r="JN13" s="93">
        <v>4126</v>
      </c>
      <c r="JO13" s="93">
        <v>4124</v>
      </c>
      <c r="JP13" s="93">
        <v>4151</v>
      </c>
      <c r="JQ13" s="93">
        <v>4119</v>
      </c>
      <c r="JR13" s="93">
        <v>4129</v>
      </c>
      <c r="JS13" s="93">
        <v>4113</v>
      </c>
      <c r="JT13" s="93">
        <v>4080</v>
      </c>
      <c r="JU13" s="93">
        <v>4080</v>
      </c>
      <c r="JV13" s="93">
        <v>4064</v>
      </c>
      <c r="JW13" s="93">
        <v>4040</v>
      </c>
      <c r="JX13" s="93">
        <v>4063</v>
      </c>
      <c r="JY13" s="93">
        <v>4093</v>
      </c>
      <c r="JZ13" s="93">
        <v>4119</v>
      </c>
      <c r="KA13" s="93">
        <v>4106</v>
      </c>
      <c r="KB13" s="93">
        <v>4058</v>
      </c>
      <c r="KC13" s="93">
        <v>4056</v>
      </c>
      <c r="KD13" s="93">
        <v>4063</v>
      </c>
      <c r="KE13" s="93">
        <v>4025</v>
      </c>
      <c r="KF13" s="93">
        <v>4024</v>
      </c>
      <c r="KG13" s="93">
        <v>4018</v>
      </c>
      <c r="KH13" s="93">
        <v>4008</v>
      </c>
      <c r="KI13" s="93">
        <v>3996</v>
      </c>
      <c r="KJ13" s="93">
        <v>4000</v>
      </c>
      <c r="KK13" s="93">
        <v>4002.3</v>
      </c>
      <c r="KL13" s="93">
        <v>4007.7</v>
      </c>
      <c r="KM13" s="93">
        <v>4002.9</v>
      </c>
      <c r="KN13" s="93">
        <v>4005.1</v>
      </c>
      <c r="KO13" s="93">
        <v>4007.4</v>
      </c>
      <c r="KP13" s="93">
        <v>4017.18</v>
      </c>
      <c r="KQ13" s="93">
        <v>4005.38</v>
      </c>
      <c r="KR13" s="93">
        <v>4012</v>
      </c>
      <c r="KS13" s="93">
        <v>4023</v>
      </c>
    </row>
    <row r="14" spans="1:305" ht="23.25" customHeight="1" x14ac:dyDescent="0.2">
      <c r="A14" s="21" t="s">
        <v>37</v>
      </c>
      <c r="B14" s="15" t="s">
        <v>20</v>
      </c>
      <c r="C14" s="74">
        <v>7070</v>
      </c>
      <c r="D14" s="19">
        <v>9425</v>
      </c>
      <c r="E14" s="19">
        <v>9430</v>
      </c>
      <c r="F14" s="19">
        <v>9862</v>
      </c>
      <c r="G14" s="19">
        <v>10350</v>
      </c>
      <c r="H14" s="19">
        <v>11750</v>
      </c>
      <c r="I14" s="19">
        <v>11350</v>
      </c>
      <c r="J14" s="19">
        <v>11360</v>
      </c>
      <c r="K14" s="19">
        <v>9650</v>
      </c>
      <c r="L14" s="19">
        <v>8870</v>
      </c>
      <c r="M14" s="19">
        <v>9630</v>
      </c>
      <c r="N14" s="19">
        <v>10260</v>
      </c>
      <c r="O14" s="19">
        <v>10375</v>
      </c>
      <c r="P14" s="19">
        <v>10350</v>
      </c>
      <c r="Q14" s="19">
        <v>10310</v>
      </c>
      <c r="R14" s="19">
        <v>10175</v>
      </c>
      <c r="S14" s="19">
        <v>9800</v>
      </c>
      <c r="T14" s="19">
        <v>9275</v>
      </c>
      <c r="U14" s="19">
        <v>8820</v>
      </c>
      <c r="V14" s="19">
        <v>8710</v>
      </c>
      <c r="W14" s="19">
        <v>9090</v>
      </c>
      <c r="X14" s="19">
        <v>8855</v>
      </c>
      <c r="Y14" s="19">
        <v>9015</v>
      </c>
      <c r="Z14" s="19">
        <v>9205</v>
      </c>
      <c r="AA14" s="19">
        <v>8980</v>
      </c>
      <c r="AB14" s="19">
        <v>8910</v>
      </c>
      <c r="AC14" s="19">
        <v>8875</v>
      </c>
      <c r="AD14" s="19">
        <v>8890</v>
      </c>
      <c r="AE14" s="19">
        <v>8902</v>
      </c>
      <c r="AF14" s="19">
        <v>8700</v>
      </c>
      <c r="AG14" s="19">
        <v>8320</v>
      </c>
      <c r="AH14" s="19">
        <v>8268</v>
      </c>
      <c r="AI14" s="19">
        <v>8505</v>
      </c>
      <c r="AJ14" s="19">
        <v>8510</v>
      </c>
      <c r="AK14" s="19">
        <v>8410</v>
      </c>
      <c r="AL14" s="19">
        <v>8590</v>
      </c>
      <c r="AM14" s="19">
        <v>8510</v>
      </c>
      <c r="AN14" s="19">
        <v>8475</v>
      </c>
      <c r="AO14" s="19">
        <v>8445</v>
      </c>
      <c r="AP14" s="19">
        <v>8455</v>
      </c>
      <c r="AQ14" s="19">
        <v>8595</v>
      </c>
      <c r="AR14" s="19">
        <v>8690</v>
      </c>
      <c r="AS14" s="19">
        <v>9270</v>
      </c>
      <c r="AT14" s="19">
        <v>9395</v>
      </c>
      <c r="AU14" s="19">
        <v>9110</v>
      </c>
      <c r="AV14" s="19">
        <v>9327</v>
      </c>
      <c r="AW14" s="19">
        <v>9181</v>
      </c>
      <c r="AX14" s="19">
        <v>9110</v>
      </c>
      <c r="AY14" s="19">
        <v>9000</v>
      </c>
      <c r="AZ14" s="19">
        <v>9290</v>
      </c>
      <c r="BA14" s="19">
        <v>9145</v>
      </c>
      <c r="BB14" s="19">
        <v>9260</v>
      </c>
      <c r="BC14" s="19">
        <v>9506</v>
      </c>
      <c r="BD14" s="19">
        <v>9505</v>
      </c>
      <c r="BE14" s="19">
        <v>9482</v>
      </c>
      <c r="BF14" s="19">
        <v>9700</v>
      </c>
      <c r="BG14" s="19">
        <v>9800</v>
      </c>
      <c r="BH14" s="19">
        <v>10300</v>
      </c>
      <c r="BI14" s="19">
        <v>10290</v>
      </c>
      <c r="BJ14" s="19">
        <v>10000</v>
      </c>
      <c r="BK14" s="19">
        <v>10030</v>
      </c>
      <c r="BL14" s="19">
        <v>9825</v>
      </c>
      <c r="BM14" s="19">
        <v>9374</v>
      </c>
      <c r="BN14" s="19">
        <v>9225</v>
      </c>
      <c r="BO14" s="19">
        <v>9090</v>
      </c>
      <c r="BP14" s="19">
        <v>8795</v>
      </c>
      <c r="BQ14" s="19">
        <v>9170</v>
      </c>
      <c r="BR14" s="19">
        <v>9362</v>
      </c>
      <c r="BS14" s="19">
        <v>9085</v>
      </c>
      <c r="BT14" s="19">
        <v>9113</v>
      </c>
      <c r="BU14" s="19">
        <v>9200</v>
      </c>
      <c r="BV14" s="19">
        <v>9095</v>
      </c>
      <c r="BW14" s="19">
        <v>9162</v>
      </c>
      <c r="BX14" s="19">
        <v>9035</v>
      </c>
      <c r="BY14" s="19">
        <v>9100</v>
      </c>
      <c r="BZ14" s="19">
        <v>9180</v>
      </c>
      <c r="CA14" s="19">
        <v>9125</v>
      </c>
      <c r="CB14" s="19">
        <v>9075</v>
      </c>
      <c r="CC14" s="19">
        <v>8835</v>
      </c>
      <c r="CD14" s="19">
        <v>9072</v>
      </c>
      <c r="CE14" s="19">
        <v>9208</v>
      </c>
      <c r="CF14" s="19">
        <v>9418</v>
      </c>
      <c r="CG14" s="19">
        <v>9135</v>
      </c>
      <c r="CH14" s="19">
        <v>9110</v>
      </c>
      <c r="CI14" s="19">
        <v>9375</v>
      </c>
      <c r="CJ14" s="19">
        <v>9390</v>
      </c>
      <c r="CK14" s="19">
        <v>9295</v>
      </c>
      <c r="CL14" s="19">
        <v>9057</v>
      </c>
      <c r="CM14" s="19">
        <v>9230</v>
      </c>
      <c r="CN14" s="19">
        <v>9215</v>
      </c>
      <c r="CO14" s="19">
        <v>9305</v>
      </c>
      <c r="CP14" s="19">
        <v>9210</v>
      </c>
      <c r="CQ14" s="36">
        <v>9118</v>
      </c>
      <c r="CR14" s="36">
        <v>9145</v>
      </c>
      <c r="CS14" s="36">
        <v>9375</v>
      </c>
      <c r="CT14" s="36">
        <v>10700</v>
      </c>
      <c r="CU14" s="36">
        <v>12300</v>
      </c>
      <c r="CV14" s="36">
        <v>11000</v>
      </c>
      <c r="CW14" s="36">
        <v>11330</v>
      </c>
      <c r="CX14" s="36">
        <v>11985</v>
      </c>
      <c r="CY14" s="36">
        <v>11750</v>
      </c>
      <c r="CZ14" s="36">
        <v>10850</v>
      </c>
      <c r="DA14" s="36">
        <v>10345</v>
      </c>
      <c r="DB14" s="36">
        <v>10245</v>
      </c>
      <c r="DC14" s="36">
        <v>9935</v>
      </c>
      <c r="DD14" s="36">
        <v>10035</v>
      </c>
      <c r="DE14" s="36">
        <v>9698</v>
      </c>
      <c r="DF14" s="36">
        <v>9525</v>
      </c>
      <c r="DG14" s="36">
        <v>9420</v>
      </c>
      <c r="DH14" s="36">
        <v>9430</v>
      </c>
      <c r="DI14" s="36">
        <v>9345</v>
      </c>
      <c r="DJ14" s="36">
        <v>9340</v>
      </c>
      <c r="DK14" s="36">
        <v>9085</v>
      </c>
      <c r="DL14" s="36">
        <v>9025</v>
      </c>
      <c r="DM14" s="36">
        <v>9170</v>
      </c>
      <c r="DN14" s="36">
        <v>9110</v>
      </c>
      <c r="DO14" s="36">
        <v>8980</v>
      </c>
      <c r="DP14" s="36">
        <v>9015</v>
      </c>
      <c r="DQ14" s="36">
        <v>8931.5</v>
      </c>
      <c r="DR14" s="36">
        <v>8935</v>
      </c>
      <c r="DS14" s="36">
        <v>9010</v>
      </c>
      <c r="DT14" s="36">
        <v>8990</v>
      </c>
      <c r="DU14" s="36">
        <v>9025</v>
      </c>
      <c r="DV14" s="36">
        <v>8835</v>
      </c>
      <c r="DW14" s="36">
        <v>8715.5</v>
      </c>
      <c r="DX14" s="36">
        <v>8577.5</v>
      </c>
      <c r="DY14" s="36">
        <v>8545</v>
      </c>
      <c r="DZ14" s="36">
        <v>8605</v>
      </c>
      <c r="EA14" s="36">
        <v>8493</v>
      </c>
      <c r="EB14" s="36">
        <v>8548</v>
      </c>
      <c r="EC14" s="36">
        <v>8990</v>
      </c>
      <c r="ED14" s="36">
        <v>8830</v>
      </c>
      <c r="EE14" s="36">
        <v>9150</v>
      </c>
      <c r="EF14" s="36">
        <v>9065</v>
      </c>
      <c r="EG14" s="36">
        <v>8980</v>
      </c>
      <c r="EH14" s="36">
        <v>9126</v>
      </c>
      <c r="EI14" s="36">
        <v>9180</v>
      </c>
      <c r="EJ14" s="36">
        <v>9184</v>
      </c>
      <c r="EK14" s="36">
        <v>9450</v>
      </c>
      <c r="EL14" s="36">
        <v>9493</v>
      </c>
      <c r="EM14" s="36">
        <v>9491</v>
      </c>
      <c r="EN14" s="36">
        <v>9581</v>
      </c>
      <c r="EO14" s="36">
        <v>9598</v>
      </c>
      <c r="EP14" s="36">
        <v>9605</v>
      </c>
      <c r="EQ14" s="36">
        <v>9633</v>
      </c>
      <c r="ER14" s="36">
        <v>9630</v>
      </c>
      <c r="ES14" s="36">
        <v>9680</v>
      </c>
      <c r="ET14" s="36">
        <v>9675</v>
      </c>
      <c r="EU14" s="36">
        <v>9739</v>
      </c>
      <c r="EV14" s="36">
        <v>9717</v>
      </c>
      <c r="EW14" s="36">
        <v>9800</v>
      </c>
      <c r="EX14" s="36">
        <v>9903</v>
      </c>
      <c r="EY14" s="36">
        <v>10265</v>
      </c>
      <c r="EZ14" s="36">
        <v>10920</v>
      </c>
      <c r="FA14" s="36">
        <v>11259</v>
      </c>
      <c r="FB14" s="36">
        <v>11165</v>
      </c>
      <c r="FC14" s="36">
        <v>11990</v>
      </c>
      <c r="FD14" s="61">
        <v>12200</v>
      </c>
      <c r="FE14" s="61">
        <v>12208</v>
      </c>
      <c r="FF14" s="61">
        <v>11660</v>
      </c>
      <c r="FG14" s="61">
        <v>11355</v>
      </c>
      <c r="FH14" s="61">
        <v>11545</v>
      </c>
      <c r="FI14" s="61">
        <v>11625</v>
      </c>
      <c r="FJ14" s="61">
        <v>11990</v>
      </c>
      <c r="FK14" s="61">
        <v>11575</v>
      </c>
      <c r="FL14" s="61">
        <v>11697</v>
      </c>
      <c r="FM14" s="61">
        <v>12164</v>
      </c>
      <c r="FN14" s="61">
        <v>12137</v>
      </c>
      <c r="FO14" s="61">
        <v>12175</v>
      </c>
      <c r="FP14" s="61">
        <v>12425</v>
      </c>
      <c r="FQ14" s="61">
        <v>12577</v>
      </c>
      <c r="FR14" s="61">
        <v>12822</v>
      </c>
      <c r="FS14" s="61">
        <v>13070</v>
      </c>
      <c r="FT14" s="61">
        <v>12930</v>
      </c>
      <c r="FU14" s="61">
        <v>13220</v>
      </c>
      <c r="FV14" s="61">
        <v>13334</v>
      </c>
      <c r="FW14" s="61">
        <v>13449</v>
      </c>
      <c r="FX14" s="61">
        <v>13980</v>
      </c>
      <c r="FY14" s="61">
        <v>14681</v>
      </c>
      <c r="FZ14" s="61">
        <v>13609</v>
      </c>
      <c r="GA14" s="61">
        <v>13793</v>
      </c>
      <c r="GB14" s="61">
        <v>13781</v>
      </c>
      <c r="GC14" s="61">
        <v>13866</v>
      </c>
      <c r="GD14" s="61">
        <v>13362</v>
      </c>
      <c r="GE14" s="61">
        <v>13251</v>
      </c>
      <c r="GF14" s="61">
        <v>13184</v>
      </c>
      <c r="GG14" s="61">
        <v>13630</v>
      </c>
      <c r="GH14" s="61">
        <v>13151</v>
      </c>
      <c r="GI14" s="61">
        <v>13093</v>
      </c>
      <c r="GJ14" s="61">
        <v>13266</v>
      </c>
      <c r="GK14" s="61">
        <v>12953</v>
      </c>
      <c r="GL14" s="61">
        <v>13048</v>
      </c>
      <c r="GM14" s="61">
        <v>13556</v>
      </c>
      <c r="GN14" s="61">
        <v>13460</v>
      </c>
      <c r="GO14" s="61">
        <v>13345</v>
      </c>
      <c r="GP14" s="61">
        <v>13341</v>
      </c>
      <c r="GQ14" s="61">
        <v>13313</v>
      </c>
      <c r="GR14" s="61">
        <v>13313</v>
      </c>
      <c r="GS14" s="61">
        <v>13321</v>
      </c>
      <c r="GT14" s="61">
        <v>13329</v>
      </c>
      <c r="GU14" s="61">
        <v>13322</v>
      </c>
      <c r="GV14" s="61">
        <v>13344</v>
      </c>
      <c r="GW14" s="61">
        <v>13510</v>
      </c>
      <c r="GX14" s="61">
        <v>13579</v>
      </c>
      <c r="GY14" s="61">
        <v>13499</v>
      </c>
      <c r="GZ14" s="61">
        <v>13556</v>
      </c>
      <c r="HA14" s="61">
        <v>13366</v>
      </c>
      <c r="HB14" s="61">
        <v>13675</v>
      </c>
      <c r="HC14" s="61">
        <v>13762</v>
      </c>
      <c r="HD14" s="61">
        <v>13890</v>
      </c>
      <c r="HE14" s="61">
        <v>13990</v>
      </c>
      <c r="HF14" s="61">
        <v>14385</v>
      </c>
      <c r="HG14" s="61">
        <v>14410</v>
      </c>
      <c r="HH14" s="61">
        <v>14675</v>
      </c>
      <c r="HI14" s="61">
        <v>14920</v>
      </c>
      <c r="HJ14" s="61">
        <v>15222</v>
      </c>
      <c r="HK14" s="93">
        <v>14380</v>
      </c>
      <c r="HL14" s="93">
        <v>14490</v>
      </c>
      <c r="HM14" s="93">
        <v>14126</v>
      </c>
      <c r="HN14" s="93">
        <v>14027</v>
      </c>
      <c r="HO14" s="93">
        <v>14239</v>
      </c>
      <c r="HP14" s="93">
        <v>14203</v>
      </c>
      <c r="HQ14" s="93">
        <v>14410</v>
      </c>
      <c r="HR14" s="93">
        <v>14138</v>
      </c>
      <c r="HS14" s="93">
        <v>14020</v>
      </c>
      <c r="HT14" s="93">
        <v>14230</v>
      </c>
      <c r="HU14" s="93">
        <v>14165</v>
      </c>
      <c r="HV14" s="93">
        <v>14026</v>
      </c>
      <c r="HW14" s="93">
        <v>14088</v>
      </c>
      <c r="HX14" s="93">
        <v>13920</v>
      </c>
      <c r="HY14" s="93">
        <v>13649</v>
      </c>
      <c r="HZ14" s="93">
        <v>14020</v>
      </c>
      <c r="IA14" s="93">
        <v>16325</v>
      </c>
      <c r="IB14" s="93">
        <v>15260</v>
      </c>
      <c r="IC14" s="93">
        <v>14675</v>
      </c>
      <c r="ID14" s="93">
        <v>14170</v>
      </c>
      <c r="IE14" s="93">
        <v>14530</v>
      </c>
      <c r="IF14" s="93">
        <v>14632</v>
      </c>
      <c r="IG14" s="93">
        <v>14845</v>
      </c>
      <c r="IH14" s="93">
        <v>14620</v>
      </c>
      <c r="II14" s="93">
        <v>14070</v>
      </c>
      <c r="IJ14" s="93">
        <v>14040</v>
      </c>
      <c r="IK14" s="93">
        <v>14055</v>
      </c>
      <c r="IL14" s="93">
        <v>14080</v>
      </c>
      <c r="IM14" s="93">
        <v>14470</v>
      </c>
      <c r="IN14" s="93">
        <v>14495</v>
      </c>
      <c r="IO14" s="93">
        <v>14280</v>
      </c>
      <c r="IP14" s="93">
        <v>14480</v>
      </c>
      <c r="IQ14" s="93">
        <v>14480</v>
      </c>
      <c r="IR14" s="93">
        <v>14368</v>
      </c>
      <c r="IS14" s="93">
        <v>14290</v>
      </c>
      <c r="IT14" s="93">
        <v>14170</v>
      </c>
      <c r="IU14" s="93">
        <v>14317</v>
      </c>
      <c r="IV14" s="93">
        <v>14265</v>
      </c>
      <c r="IW14" s="93">
        <v>14385</v>
      </c>
      <c r="IX14" s="93">
        <v>14360</v>
      </c>
      <c r="IY14" s="93">
        <v>14341</v>
      </c>
      <c r="IZ14" s="93">
        <v>14488</v>
      </c>
      <c r="JA14" s="93">
        <v>14553</v>
      </c>
      <c r="JB14" s="93">
        <v>14849</v>
      </c>
      <c r="JC14" s="93">
        <v>14914</v>
      </c>
      <c r="JD14" s="93">
        <v>14840</v>
      </c>
      <c r="JE14" s="93">
        <v>15260</v>
      </c>
      <c r="JF14" s="93">
        <v>15548</v>
      </c>
      <c r="JG14" s="93">
        <v>15740</v>
      </c>
      <c r="JH14" s="93">
        <v>15565</v>
      </c>
      <c r="JI14" s="93">
        <v>14985</v>
      </c>
      <c r="JJ14" s="93">
        <v>15245</v>
      </c>
      <c r="JK14" s="93">
        <v>14990</v>
      </c>
      <c r="JL14" s="93">
        <v>14671</v>
      </c>
      <c r="JM14" s="93">
        <v>14990</v>
      </c>
      <c r="JN14" s="93">
        <v>14990</v>
      </c>
      <c r="JO14" s="93">
        <v>15075</v>
      </c>
      <c r="JP14" s="93">
        <v>15225</v>
      </c>
      <c r="JQ14" s="93">
        <v>15455</v>
      </c>
      <c r="JR14" s="93">
        <v>15880</v>
      </c>
      <c r="JS14" s="93">
        <v>15505</v>
      </c>
      <c r="JT14" s="93">
        <v>15395</v>
      </c>
      <c r="JU14" s="93">
        <v>15775</v>
      </c>
      <c r="JV14" s="93">
        <v>15714</v>
      </c>
      <c r="JW14" s="93">
        <v>15850</v>
      </c>
      <c r="JX14" s="93">
        <v>16255</v>
      </c>
      <c r="JY14" s="93">
        <v>16245</v>
      </c>
      <c r="JZ14" s="93">
        <v>16370</v>
      </c>
      <c r="KA14" s="93">
        <v>16255</v>
      </c>
      <c r="KB14" s="93">
        <v>15410</v>
      </c>
      <c r="KC14" s="93">
        <v>15135</v>
      </c>
      <c r="KD14" s="93">
        <v>15690</v>
      </c>
      <c r="KE14" s="93">
        <v>15840</v>
      </c>
      <c r="KF14" s="93">
        <v>16090</v>
      </c>
      <c r="KG14" s="93">
        <v>16315</v>
      </c>
      <c r="KH14" s="93">
        <v>16575</v>
      </c>
      <c r="KI14" s="93">
        <v>16555</v>
      </c>
      <c r="KJ14" s="93">
        <v>16758</v>
      </c>
      <c r="KK14" s="93">
        <v>16285</v>
      </c>
      <c r="KL14" s="93">
        <v>16235</v>
      </c>
      <c r="KM14" s="93">
        <v>16450</v>
      </c>
      <c r="KN14" s="93">
        <v>16485</v>
      </c>
      <c r="KO14" s="93">
        <v>16660</v>
      </c>
      <c r="KP14" s="93">
        <v>16625</v>
      </c>
      <c r="KQ14" s="93">
        <v>16655</v>
      </c>
      <c r="KR14" s="93">
        <v>16690</v>
      </c>
      <c r="KS14" s="93">
        <v>16780</v>
      </c>
    </row>
    <row r="15" spans="1:305" ht="23.25" customHeight="1" x14ac:dyDescent="0.2">
      <c r="A15" s="21" t="s">
        <v>38</v>
      </c>
      <c r="B15" s="15" t="s">
        <v>21</v>
      </c>
      <c r="C15" s="75">
        <v>3.8</v>
      </c>
      <c r="D15" s="12">
        <v>3.8</v>
      </c>
      <c r="E15" s="12">
        <v>3.7995000000000001</v>
      </c>
      <c r="F15" s="12">
        <v>3.7999000000000001</v>
      </c>
      <c r="G15" s="12">
        <v>3.7995000000000001</v>
      </c>
      <c r="H15" s="12">
        <v>3.7995000000000001</v>
      </c>
      <c r="I15" s="10">
        <v>3.8</v>
      </c>
      <c r="J15" s="10">
        <v>3.8</v>
      </c>
      <c r="K15" s="10">
        <v>3.8</v>
      </c>
      <c r="L15" s="10">
        <v>3.8</v>
      </c>
      <c r="M15" s="10">
        <v>3.8</v>
      </c>
      <c r="N15" s="12">
        <v>3.7995000000000001</v>
      </c>
      <c r="O15" s="12">
        <v>3.7995000000000001</v>
      </c>
      <c r="P15" s="12">
        <v>3.7995000000000001</v>
      </c>
      <c r="Q15" s="12">
        <v>3.7995000000000001</v>
      </c>
      <c r="R15" s="12">
        <v>3.7995000000000001</v>
      </c>
      <c r="S15" s="12">
        <v>3.7995000000000001</v>
      </c>
      <c r="T15" s="12">
        <v>3.7995000000000001</v>
      </c>
      <c r="U15" s="12">
        <v>3.7995000000000001</v>
      </c>
      <c r="V15" s="12">
        <v>3.7995000000000001</v>
      </c>
      <c r="W15" s="12">
        <v>3.7995000000000001</v>
      </c>
      <c r="X15" s="12">
        <v>3.7995000000000001</v>
      </c>
      <c r="Y15" s="12">
        <v>3.7995000000000001</v>
      </c>
      <c r="Z15" s="12">
        <v>3.7995000000000001</v>
      </c>
      <c r="AA15" s="12">
        <v>3.7995000000000001</v>
      </c>
      <c r="AB15" s="12">
        <v>3.7997999999999998</v>
      </c>
      <c r="AC15" s="12">
        <v>3.7995000000000001</v>
      </c>
      <c r="AD15" s="12">
        <v>3.7995000000000001</v>
      </c>
      <c r="AE15" s="12">
        <v>3.7995000000000001</v>
      </c>
      <c r="AF15" s="12">
        <v>3.7995000000000001</v>
      </c>
      <c r="AG15" s="12">
        <v>3.7995000000000001</v>
      </c>
      <c r="AH15" s="12">
        <v>3.7995000000000001</v>
      </c>
      <c r="AI15" s="12">
        <v>3.7995000000000001</v>
      </c>
      <c r="AJ15" s="12">
        <v>3.7995000000000001</v>
      </c>
      <c r="AK15" s="12">
        <v>3.7995000000000001</v>
      </c>
      <c r="AL15" s="12">
        <v>3.7995000000000001</v>
      </c>
      <c r="AM15" s="12">
        <v>3.7995000000000001</v>
      </c>
      <c r="AN15" s="12">
        <v>3.7995000000000001</v>
      </c>
      <c r="AO15" s="12">
        <v>3.7995000000000001</v>
      </c>
      <c r="AP15" s="12">
        <v>3.7995000000000001</v>
      </c>
      <c r="AQ15" s="12">
        <v>3.7995000000000001</v>
      </c>
      <c r="AR15" s="12">
        <v>3.7995000000000001</v>
      </c>
      <c r="AS15" s="12">
        <v>3.7995000000000001</v>
      </c>
      <c r="AT15" s="12">
        <v>3.7995000000000001</v>
      </c>
      <c r="AU15" s="12">
        <v>3.7997999999999998</v>
      </c>
      <c r="AV15" s="12">
        <v>3.7995000000000001</v>
      </c>
      <c r="AW15" s="12">
        <v>3.7999000000000001</v>
      </c>
      <c r="AX15" s="12">
        <v>3.7995000000000001</v>
      </c>
      <c r="AY15" s="12">
        <v>3.7995000000000001</v>
      </c>
      <c r="AZ15" s="12">
        <v>3.7995000000000001</v>
      </c>
      <c r="BA15" s="12">
        <v>3.7995000000000001</v>
      </c>
      <c r="BB15" s="12">
        <v>3.7995000000000001</v>
      </c>
      <c r="BC15" s="12">
        <v>3.7995000000000001</v>
      </c>
      <c r="BD15" s="12">
        <v>3.7995000000000001</v>
      </c>
      <c r="BE15" s="12">
        <v>3.7997999999999998</v>
      </c>
      <c r="BF15" s="12">
        <v>3.7995000000000001</v>
      </c>
      <c r="BG15" s="12">
        <v>3.75</v>
      </c>
      <c r="BH15" s="12">
        <v>3.7715000000000001</v>
      </c>
      <c r="BI15" s="12">
        <v>3.7669999999999999</v>
      </c>
      <c r="BJ15" s="12">
        <v>3.7723</v>
      </c>
      <c r="BK15" s="12">
        <v>3.7772000000000001</v>
      </c>
      <c r="BL15" s="12">
        <v>3.7793000000000001</v>
      </c>
      <c r="BM15" s="12">
        <v>3.7480000000000002</v>
      </c>
      <c r="BN15" s="12">
        <v>3.7101999999999999</v>
      </c>
      <c r="BO15" s="12">
        <v>3.6890000000000001</v>
      </c>
      <c r="BP15" s="12">
        <v>3.6234999999999999</v>
      </c>
      <c r="BQ15" s="12">
        <v>3.621</v>
      </c>
      <c r="BR15" s="12">
        <v>3.6720000000000002</v>
      </c>
      <c r="BS15" s="12">
        <v>3.6535000000000002</v>
      </c>
      <c r="BT15" s="12">
        <v>3.68</v>
      </c>
      <c r="BU15" s="12">
        <v>3.6819999999999999</v>
      </c>
      <c r="BV15" s="12">
        <v>3.6555</v>
      </c>
      <c r="BW15" s="12">
        <v>3.6280000000000001</v>
      </c>
      <c r="BX15" s="12">
        <v>3.5329999999999999</v>
      </c>
      <c r="BY15" s="12">
        <v>3.5</v>
      </c>
      <c r="BZ15" s="12">
        <v>3.5059999999999998</v>
      </c>
      <c r="CA15" s="12">
        <v>3.4535</v>
      </c>
      <c r="CB15" s="12">
        <v>3.42</v>
      </c>
      <c r="CC15" s="12">
        <v>3.3940000000000001</v>
      </c>
      <c r="CD15" s="12">
        <v>3.452</v>
      </c>
      <c r="CE15" s="12">
        <v>3.4514999999999998</v>
      </c>
      <c r="CF15" s="12">
        <v>3.5</v>
      </c>
      <c r="CG15" s="12">
        <v>3.4119999999999999</v>
      </c>
      <c r="CH15" s="12">
        <v>3.3405</v>
      </c>
      <c r="CI15" s="12">
        <v>3.3635000000000002</v>
      </c>
      <c r="CJ15" s="12">
        <v>3.3109999999999999</v>
      </c>
      <c r="CK15" s="12">
        <v>3.2320000000000002</v>
      </c>
      <c r="CL15" s="12">
        <v>3.19</v>
      </c>
      <c r="CM15" s="12">
        <v>3.19</v>
      </c>
      <c r="CN15" s="12">
        <v>3.1509999999999998</v>
      </c>
      <c r="CO15" s="12">
        <v>3.2480000000000002</v>
      </c>
      <c r="CP15" s="12">
        <v>3.2625000000000002</v>
      </c>
      <c r="CQ15" s="37">
        <v>3.26</v>
      </c>
      <c r="CR15" s="37">
        <v>3.3919999999999999</v>
      </c>
      <c r="CS15" s="37">
        <v>3.4279999999999999</v>
      </c>
      <c r="CT15" s="37">
        <v>3.5470000000000002</v>
      </c>
      <c r="CU15" s="37">
        <v>3.61</v>
      </c>
      <c r="CV15" s="37">
        <v>3.4660000000000002</v>
      </c>
      <c r="CW15" s="37">
        <v>3.6095000000000002</v>
      </c>
      <c r="CX15" s="37">
        <v>3.6850000000000001</v>
      </c>
      <c r="CY15" s="37">
        <v>3.6545000000000001</v>
      </c>
      <c r="CZ15" s="37">
        <v>3.5640000000000001</v>
      </c>
      <c r="DA15" s="37">
        <v>3.504</v>
      </c>
      <c r="DB15" s="37">
        <v>3.5274999999999999</v>
      </c>
      <c r="DC15" s="37">
        <v>3.5194999999999999</v>
      </c>
      <c r="DD15" s="37">
        <v>3.52</v>
      </c>
      <c r="DE15" s="37">
        <v>3.4820000000000002</v>
      </c>
      <c r="DF15" s="37">
        <v>3.4049999999999998</v>
      </c>
      <c r="DG15" s="37">
        <v>3.4</v>
      </c>
      <c r="DH15" s="37">
        <v>3.4209999999999998</v>
      </c>
      <c r="DI15" s="37">
        <v>3.419</v>
      </c>
      <c r="DJ15" s="37">
        <v>3.4045000000000001</v>
      </c>
      <c r="DK15" s="37">
        <v>3.2679999999999998</v>
      </c>
      <c r="DL15" s="37">
        <v>3.2080000000000002</v>
      </c>
      <c r="DM15" s="37">
        <v>3.2589999999999999</v>
      </c>
      <c r="DN15" s="37">
        <v>3.2675000000000001</v>
      </c>
      <c r="DO15" s="37">
        <v>3.1909999999999998</v>
      </c>
      <c r="DP15" s="37">
        <v>3.145</v>
      </c>
      <c r="DQ15" s="37">
        <v>3.0825</v>
      </c>
      <c r="DR15" s="37">
        <v>3.1110000000000002</v>
      </c>
      <c r="DS15" s="37">
        <v>3.16</v>
      </c>
      <c r="DT15" s="37">
        <v>3.073</v>
      </c>
      <c r="DU15" s="37">
        <v>3.0600999999999998</v>
      </c>
      <c r="DV15" s="37">
        <v>3.0535000000000001</v>
      </c>
      <c r="DW15" s="37">
        <v>3.0249999999999999</v>
      </c>
      <c r="DX15" s="37">
        <v>2.9674999999999998</v>
      </c>
      <c r="DY15" s="37">
        <v>3.0089999999999999</v>
      </c>
      <c r="DZ15" s="37">
        <v>3.0190000000000001</v>
      </c>
      <c r="EA15" s="37">
        <v>2.95</v>
      </c>
      <c r="EB15" s="37">
        <v>2.9775</v>
      </c>
      <c r="EC15" s="37">
        <v>3.1835</v>
      </c>
      <c r="ED15" s="37">
        <v>3.07</v>
      </c>
      <c r="EE15" s="37">
        <v>3.1705000000000001</v>
      </c>
      <c r="EF15" s="37">
        <v>3.1705000000000001</v>
      </c>
      <c r="EG15" s="37">
        <v>3.0525000000000002</v>
      </c>
      <c r="EH15" s="37">
        <v>2.9969999999999999</v>
      </c>
      <c r="EI15" s="37">
        <v>3.0705</v>
      </c>
      <c r="EJ15" s="37">
        <v>3.0329999999999999</v>
      </c>
      <c r="EK15" s="37">
        <v>3.1840000000000002</v>
      </c>
      <c r="EL15" s="37">
        <v>3.1964999999999999</v>
      </c>
      <c r="EM15" s="37">
        <v>3.1484999999999999</v>
      </c>
      <c r="EN15" s="37">
        <v>3.13</v>
      </c>
      <c r="EO15" s="37">
        <v>3.0735999999999999</v>
      </c>
      <c r="EP15" s="37">
        <v>3.0508999999999999</v>
      </c>
      <c r="EQ15" s="37">
        <v>3.0447000000000002</v>
      </c>
      <c r="ER15" s="37">
        <v>3.0609999999999999</v>
      </c>
      <c r="ES15" s="37">
        <v>3.0815000000000001</v>
      </c>
      <c r="ET15" s="37">
        <v>3.0920000000000001</v>
      </c>
      <c r="EU15" s="37">
        <v>3.09</v>
      </c>
      <c r="EV15" s="37">
        <v>3.0297999999999998</v>
      </c>
      <c r="EW15" s="37">
        <v>3.0720000000000001</v>
      </c>
      <c r="EX15" s="37">
        <v>3.1739999999999999</v>
      </c>
      <c r="EY15" s="37">
        <v>3.2440000000000002</v>
      </c>
      <c r="EZ15" s="37">
        <v>3.3035000000000001</v>
      </c>
      <c r="FA15" s="37">
        <v>3.2494999999999998</v>
      </c>
      <c r="FB15" s="37">
        <v>3.1576</v>
      </c>
      <c r="FC15" s="37">
        <v>3.2309999999999999</v>
      </c>
      <c r="FD15" s="62">
        <v>3.2892999999999999</v>
      </c>
      <c r="FE15" s="62">
        <v>3.3458000000000001</v>
      </c>
      <c r="FF15" s="62">
        <v>3.2747999999999999</v>
      </c>
      <c r="FG15" s="62">
        <v>3.26</v>
      </c>
      <c r="FH15" s="62">
        <v>3.2605</v>
      </c>
      <c r="FI15" s="62">
        <v>3.2130000000000001</v>
      </c>
      <c r="FJ15" s="62">
        <v>3.2109999999999999</v>
      </c>
      <c r="FK15" s="62">
        <v>3.1865000000000001</v>
      </c>
      <c r="FL15" s="62">
        <v>3.1539999999999999</v>
      </c>
      <c r="FM15" s="62">
        <v>3.2770000000000001</v>
      </c>
      <c r="FN15" s="62">
        <v>3.282</v>
      </c>
      <c r="FO15" s="62">
        <v>3.3490000000000002</v>
      </c>
      <c r="FP15" s="62">
        <v>3.4940000000000002</v>
      </c>
      <c r="FQ15" s="62">
        <v>3.6324999999999998</v>
      </c>
      <c r="FR15" s="62">
        <v>3.5954999999999999</v>
      </c>
      <c r="FS15" s="62">
        <v>3.7124999999999999</v>
      </c>
      <c r="FT15" s="62">
        <v>3.5510000000000002</v>
      </c>
      <c r="FU15" s="62">
        <v>3.6455000000000002</v>
      </c>
      <c r="FV15" s="62">
        <v>3.7705000000000002</v>
      </c>
      <c r="FW15" s="62">
        <v>3.8159999999999998</v>
      </c>
      <c r="FX15" s="62">
        <v>4.1905000000000001</v>
      </c>
      <c r="FY15" s="62">
        <v>4.45</v>
      </c>
      <c r="FZ15" s="62">
        <v>4.3099999999999996</v>
      </c>
      <c r="GA15" s="62">
        <v>4.2510000000000003</v>
      </c>
      <c r="GB15" s="62">
        <v>4.2919999999999998</v>
      </c>
      <c r="GC15" s="62">
        <v>4.1719999999999997</v>
      </c>
      <c r="GD15" s="62">
        <v>4.2214999999999998</v>
      </c>
      <c r="GE15" s="62">
        <v>3.923</v>
      </c>
      <c r="GF15" s="62">
        <v>3.883</v>
      </c>
      <c r="GG15" s="62">
        <v>4.1040000000000001</v>
      </c>
      <c r="GH15" s="62">
        <v>4.0110000000000001</v>
      </c>
      <c r="GI15" s="62">
        <v>4.0484999999999998</v>
      </c>
      <c r="GJ15" s="62">
        <v>4.0564999999999998</v>
      </c>
      <c r="GK15" s="62">
        <v>4.1079999999999997</v>
      </c>
      <c r="GL15" s="62">
        <v>4.2</v>
      </c>
      <c r="GM15" s="62">
        <v>4.4595000000000002</v>
      </c>
      <c r="GN15" s="62">
        <v>4.4824999999999999</v>
      </c>
      <c r="GO15" s="62">
        <v>4.4234999999999998</v>
      </c>
      <c r="GP15" s="62">
        <v>4.4375</v>
      </c>
      <c r="GQ15" s="62">
        <v>4.4210000000000003</v>
      </c>
      <c r="GR15" s="62">
        <v>4.3419999999999996</v>
      </c>
      <c r="GS15" s="62">
        <v>4.2774999999999999</v>
      </c>
      <c r="GT15" s="62">
        <v>4.2919999999999998</v>
      </c>
      <c r="GU15" s="62">
        <v>4.2785000000000002</v>
      </c>
      <c r="GV15" s="62">
        <v>4.2714999999999996</v>
      </c>
      <c r="GW15" s="62">
        <v>4.2300000000000004</v>
      </c>
      <c r="GX15" s="62">
        <v>4.2300000000000004</v>
      </c>
      <c r="GY15" s="62">
        <v>4.0839999999999996</v>
      </c>
      <c r="GZ15" s="62">
        <v>4.0609999999999999</v>
      </c>
      <c r="HA15" s="62">
        <v>3.8860000000000001</v>
      </c>
      <c r="HB15" s="62">
        <v>3.9245000000000001</v>
      </c>
      <c r="HC15" s="62">
        <v>3.8639999999999999</v>
      </c>
      <c r="HD15" s="62">
        <v>3.9184999999999999</v>
      </c>
      <c r="HE15" s="62">
        <v>3.988</v>
      </c>
      <c r="HF15" s="62">
        <v>4.0425000000000004</v>
      </c>
      <c r="HG15" s="62">
        <v>4.0579999999999998</v>
      </c>
      <c r="HH15" s="62">
        <v>4.1079999999999997</v>
      </c>
      <c r="HI15" s="62">
        <v>4.1429999999999998</v>
      </c>
      <c r="HJ15" s="62">
        <v>4.18</v>
      </c>
      <c r="HK15" s="94">
        <v>4.1859999999999999</v>
      </c>
      <c r="HL15" s="94">
        <v>4.1449999999999996</v>
      </c>
      <c r="HM15" s="94">
        <v>4.0869999999999997</v>
      </c>
      <c r="HN15" s="94">
        <v>4.07</v>
      </c>
      <c r="HO15" s="94">
        <v>4.0759999999999996</v>
      </c>
      <c r="HP15" s="94">
        <v>4.13</v>
      </c>
      <c r="HQ15" s="94">
        <v>4.1920000000000002</v>
      </c>
      <c r="HR15" s="94">
        <v>4.1399999999999997</v>
      </c>
      <c r="HS15" s="94">
        <v>4.125</v>
      </c>
      <c r="HT15" s="94">
        <v>4.2169999999999996</v>
      </c>
      <c r="HU15" s="94">
        <v>4.1879999999999997</v>
      </c>
      <c r="HV15" s="94">
        <v>4.1769999999999996</v>
      </c>
      <c r="HW15" s="94">
        <v>4.17</v>
      </c>
      <c r="HX15" s="94">
        <v>4.1005000000000003</v>
      </c>
      <c r="HY15" s="94">
        <v>4.0869999999999997</v>
      </c>
      <c r="HZ15" s="94">
        <v>4.21</v>
      </c>
      <c r="IA15" s="94">
        <v>4.319</v>
      </c>
      <c r="IB15" s="94">
        <v>4.335</v>
      </c>
      <c r="IC15" s="94">
        <v>4.3470000000000004</v>
      </c>
      <c r="ID15" s="94">
        <v>4.282</v>
      </c>
      <c r="IE15" s="94">
        <v>4.2374999999999998</v>
      </c>
      <c r="IF15" s="94">
        <v>4.1639999999999997</v>
      </c>
      <c r="IG15" s="94">
        <v>4.1500000000000004</v>
      </c>
      <c r="IH15" s="94">
        <v>4.165</v>
      </c>
      <c r="II15" s="94">
        <v>4.0670000000000002</v>
      </c>
      <c r="IJ15" s="94">
        <v>4.0279999999999996</v>
      </c>
      <c r="IK15" s="94">
        <v>4.0449999999999999</v>
      </c>
      <c r="IL15" s="94">
        <v>4.0575000000000001</v>
      </c>
      <c r="IM15" s="94">
        <v>4.1500000000000004</v>
      </c>
      <c r="IN15" s="94">
        <v>4.1025</v>
      </c>
      <c r="IO15" s="94">
        <v>4.1429999999999998</v>
      </c>
      <c r="IP15" s="94">
        <v>4.1524999999999999</v>
      </c>
      <c r="IQ15" s="94">
        <v>4.2359999999999998</v>
      </c>
      <c r="IR15" s="94">
        <v>4.1529999999999996</v>
      </c>
      <c r="IS15" s="94">
        <v>4.1879999999999997</v>
      </c>
      <c r="IT15" s="94">
        <v>4.1500000000000004</v>
      </c>
      <c r="IU15" s="94">
        <v>4.234</v>
      </c>
      <c r="IV15" s="94">
        <v>4.1710000000000003</v>
      </c>
      <c r="IW15" s="94">
        <v>4.1849999999999996</v>
      </c>
      <c r="IX15" s="94">
        <v>4.2004999999999999</v>
      </c>
      <c r="IY15" s="94">
        <v>4.1994999999999996</v>
      </c>
      <c r="IZ15" s="94">
        <v>4.3600000000000003</v>
      </c>
      <c r="JA15" s="94">
        <v>4.3639999999999999</v>
      </c>
      <c r="JB15" s="94">
        <v>4.4009999999999998</v>
      </c>
      <c r="JC15" s="94">
        <v>4.4515000000000002</v>
      </c>
      <c r="JD15" s="94">
        <v>4.4744999999999999</v>
      </c>
      <c r="JE15" s="94">
        <v>4.633</v>
      </c>
      <c r="JF15" s="94">
        <v>4.7225000000000001</v>
      </c>
      <c r="JG15" s="94">
        <v>4.5060000000000002</v>
      </c>
      <c r="JH15" s="94">
        <v>4.3849999999999998</v>
      </c>
      <c r="JI15" s="94">
        <v>4.2549999999999999</v>
      </c>
      <c r="JJ15" s="94">
        <v>4.4870000000000001</v>
      </c>
      <c r="JK15" s="94">
        <v>4.4139999999999997</v>
      </c>
      <c r="JL15" s="94">
        <v>4.4580000000000002</v>
      </c>
      <c r="JM15" s="94">
        <v>4.62</v>
      </c>
      <c r="JN15" s="94">
        <v>4.6660000000000004</v>
      </c>
      <c r="JO15" s="94">
        <v>4.5004999999999997</v>
      </c>
      <c r="JP15" s="94">
        <v>4.6364999999999998</v>
      </c>
      <c r="JQ15" s="94">
        <v>4.6859999999999999</v>
      </c>
      <c r="JR15" s="94">
        <v>4.7634999999999996</v>
      </c>
      <c r="JS15" s="94">
        <v>4.6574999999999998</v>
      </c>
      <c r="JT15" s="94">
        <v>4.58</v>
      </c>
      <c r="JU15" s="94">
        <v>4.7290000000000001</v>
      </c>
      <c r="JV15" s="94">
        <v>4.7539999999999996</v>
      </c>
      <c r="JW15" s="94">
        <v>4.7220000000000004</v>
      </c>
      <c r="JX15" s="94">
        <v>4.7694999999999999</v>
      </c>
      <c r="JY15" s="94">
        <v>4.7074999999999996</v>
      </c>
      <c r="JZ15" s="94">
        <v>4.7169999999999996</v>
      </c>
      <c r="KA15" s="94">
        <v>4.5994999999999999</v>
      </c>
      <c r="KB15" s="94">
        <v>4.3239999999999998</v>
      </c>
      <c r="KC15" s="94">
        <v>4.1174999999999997</v>
      </c>
      <c r="KD15" s="94">
        <v>4.3754999999999997</v>
      </c>
      <c r="KE15" s="94">
        <v>4.4400000000000004</v>
      </c>
      <c r="KF15" s="94">
        <v>4.4720000000000004</v>
      </c>
      <c r="KG15" s="94">
        <v>4.4420000000000002</v>
      </c>
      <c r="KH15" s="94">
        <v>4.4584999999999999</v>
      </c>
      <c r="KI15" s="94">
        <v>4.4364999999999997</v>
      </c>
      <c r="KJ15" s="94">
        <v>4.3114999999999997</v>
      </c>
      <c r="KK15" s="94">
        <v>4.2430000000000003</v>
      </c>
      <c r="KL15" s="94">
        <v>4.2110000000000003</v>
      </c>
      <c r="KM15" s="94">
        <v>4.2560000000000002</v>
      </c>
      <c r="KN15" s="94">
        <v>4.2220000000000004</v>
      </c>
      <c r="KO15" s="94">
        <v>4.2069999999999999</v>
      </c>
      <c r="KP15" s="94">
        <v>4.1900000000000004</v>
      </c>
      <c r="KQ15" s="94">
        <v>4.1275000000000004</v>
      </c>
      <c r="KR15" s="94">
        <v>4.0594999999999999</v>
      </c>
      <c r="KS15" s="94">
        <v>3.9369999999999998</v>
      </c>
    </row>
    <row r="16" spans="1:305" ht="23.25" customHeight="1" x14ac:dyDescent="0.2">
      <c r="A16" s="21" t="s">
        <v>6</v>
      </c>
      <c r="B16" s="15" t="s">
        <v>22</v>
      </c>
      <c r="C16" s="75">
        <v>40</v>
      </c>
      <c r="D16" s="10">
        <v>49.82</v>
      </c>
      <c r="E16" s="10">
        <v>49.45</v>
      </c>
      <c r="F16" s="10">
        <v>48.2</v>
      </c>
      <c r="G16" s="10">
        <v>49.28</v>
      </c>
      <c r="H16" s="10">
        <v>50.8</v>
      </c>
      <c r="I16" s="10">
        <v>50.5</v>
      </c>
      <c r="J16" s="10">
        <v>52.2</v>
      </c>
      <c r="K16" s="10">
        <v>53.33</v>
      </c>
      <c r="L16" s="10">
        <v>51.06</v>
      </c>
      <c r="M16" s="10">
        <v>51.25</v>
      </c>
      <c r="N16" s="10">
        <v>52</v>
      </c>
      <c r="O16" s="10">
        <v>51.85</v>
      </c>
      <c r="P16" s="10">
        <v>51.5</v>
      </c>
      <c r="Q16" s="10">
        <v>51.17</v>
      </c>
      <c r="R16" s="10">
        <v>51.3</v>
      </c>
      <c r="S16" s="10">
        <v>50.97</v>
      </c>
      <c r="T16" s="10">
        <v>50.78</v>
      </c>
      <c r="U16" s="10">
        <v>49.8</v>
      </c>
      <c r="V16" s="10">
        <v>50.6</v>
      </c>
      <c r="W16" s="10">
        <v>51</v>
      </c>
      <c r="X16" s="10">
        <v>51.72</v>
      </c>
      <c r="Y16" s="10">
        <v>52.37</v>
      </c>
      <c r="Z16" s="10">
        <v>53</v>
      </c>
      <c r="AA16" s="10">
        <v>53.57</v>
      </c>
      <c r="AB16" s="10">
        <v>53.25</v>
      </c>
      <c r="AC16" s="10">
        <v>53.814999999999998</v>
      </c>
      <c r="AD16" s="10">
        <v>53.814999999999998</v>
      </c>
      <c r="AE16" s="10">
        <v>53.5</v>
      </c>
      <c r="AF16" s="10">
        <v>52.84</v>
      </c>
      <c r="AG16" s="10">
        <v>53.3</v>
      </c>
      <c r="AH16" s="10">
        <v>53.5</v>
      </c>
      <c r="AI16" s="10">
        <v>54.6</v>
      </c>
      <c r="AJ16" s="10">
        <v>54.8</v>
      </c>
      <c r="AK16" s="10">
        <v>54.83</v>
      </c>
      <c r="AL16" s="10">
        <v>55.27</v>
      </c>
      <c r="AM16" s="10">
        <v>55.7</v>
      </c>
      <c r="AN16" s="10">
        <v>55.32</v>
      </c>
      <c r="AO16" s="10">
        <v>55.32</v>
      </c>
      <c r="AP16" s="10">
        <v>56.3</v>
      </c>
      <c r="AQ16" s="10">
        <v>56.25</v>
      </c>
      <c r="AR16" s="10">
        <v>56.04</v>
      </c>
      <c r="AS16" s="10">
        <v>55.83</v>
      </c>
      <c r="AT16" s="10">
        <v>56.19</v>
      </c>
      <c r="AU16" s="10">
        <v>55.88</v>
      </c>
      <c r="AV16" s="10">
        <v>56.11</v>
      </c>
      <c r="AW16" s="10">
        <v>56.26</v>
      </c>
      <c r="AX16" s="10">
        <v>56.39</v>
      </c>
      <c r="AY16" s="10">
        <v>56.11</v>
      </c>
      <c r="AZ16" s="10">
        <v>56.11</v>
      </c>
      <c r="BA16" s="10">
        <v>55.06</v>
      </c>
      <c r="BB16" s="10">
        <v>54.66</v>
      </c>
      <c r="BC16" s="10">
        <v>54.6</v>
      </c>
      <c r="BD16" s="10">
        <v>53.95</v>
      </c>
      <c r="BE16" s="10">
        <v>54.45</v>
      </c>
      <c r="BF16" s="10">
        <v>55.87</v>
      </c>
      <c r="BG16" s="10">
        <v>55.85</v>
      </c>
      <c r="BH16" s="10">
        <v>56.16</v>
      </c>
      <c r="BI16" s="10">
        <v>56</v>
      </c>
      <c r="BJ16" s="10">
        <v>55.02</v>
      </c>
      <c r="BK16" s="10">
        <v>53.93</v>
      </c>
      <c r="BL16" s="10">
        <v>52.97</v>
      </c>
      <c r="BM16" s="10">
        <v>52.3</v>
      </c>
      <c r="BN16" s="10">
        <v>51.9</v>
      </c>
      <c r="BO16" s="10">
        <v>51.24</v>
      </c>
      <c r="BP16" s="10">
        <v>51.71</v>
      </c>
      <c r="BQ16" s="10">
        <v>52.65</v>
      </c>
      <c r="BR16" s="10">
        <v>53.47</v>
      </c>
      <c r="BS16" s="10">
        <v>51.53</v>
      </c>
      <c r="BT16" s="10">
        <v>50.81</v>
      </c>
      <c r="BU16" s="10">
        <v>50.2</v>
      </c>
      <c r="BV16" s="10">
        <v>49.84</v>
      </c>
      <c r="BW16" s="10">
        <v>49.68</v>
      </c>
      <c r="BX16" s="10">
        <v>49.09</v>
      </c>
      <c r="BY16" s="10">
        <v>49.03</v>
      </c>
      <c r="BZ16" s="10">
        <v>48.62</v>
      </c>
      <c r="CA16" s="10">
        <v>48.16</v>
      </c>
      <c r="CB16" s="10">
        <v>47.45</v>
      </c>
      <c r="CC16" s="10">
        <v>46.33</v>
      </c>
      <c r="CD16" s="10">
        <v>46.34</v>
      </c>
      <c r="CE16" s="10">
        <v>45.47</v>
      </c>
      <c r="CF16" s="10">
        <v>46.82</v>
      </c>
      <c r="CG16" s="10">
        <v>15.07</v>
      </c>
      <c r="CH16" s="10">
        <v>43.69</v>
      </c>
      <c r="CI16" s="10">
        <v>42.5</v>
      </c>
      <c r="CJ16" s="10">
        <v>41.2</v>
      </c>
      <c r="CK16" s="10">
        <v>40.71</v>
      </c>
      <c r="CL16" s="10">
        <v>40.25</v>
      </c>
      <c r="CM16" s="10">
        <v>41.77</v>
      </c>
      <c r="CN16" s="10">
        <v>42.15</v>
      </c>
      <c r="CO16" s="10">
        <v>43.75</v>
      </c>
      <c r="CP16" s="10">
        <v>44.77</v>
      </c>
      <c r="CQ16" s="33">
        <v>44.13</v>
      </c>
      <c r="CR16" s="33">
        <v>45.67</v>
      </c>
      <c r="CS16" s="33">
        <v>46.354999999999997</v>
      </c>
      <c r="CT16" s="33">
        <v>49.2</v>
      </c>
      <c r="CU16" s="33">
        <v>48.65</v>
      </c>
      <c r="CV16" s="33">
        <v>47.335000000000001</v>
      </c>
      <c r="CW16" s="33">
        <v>46.725000000000001</v>
      </c>
      <c r="CX16" s="33">
        <v>48.38</v>
      </c>
      <c r="CY16" s="33">
        <v>48.5</v>
      </c>
      <c r="CZ16" s="33">
        <v>48.472000000000001</v>
      </c>
      <c r="DA16" s="33">
        <v>47.5</v>
      </c>
      <c r="DB16" s="33">
        <v>48.23</v>
      </c>
      <c r="DC16" s="33">
        <v>48.07</v>
      </c>
      <c r="DD16" s="33">
        <v>48.79</v>
      </c>
      <c r="DE16" s="33">
        <v>47.58</v>
      </c>
      <c r="DF16" s="33">
        <v>47.47</v>
      </c>
      <c r="DG16" s="33">
        <v>47.19</v>
      </c>
      <c r="DH16" s="33">
        <v>46.19</v>
      </c>
      <c r="DI16" s="33">
        <v>46.58</v>
      </c>
      <c r="DJ16" s="33">
        <v>46.28</v>
      </c>
      <c r="DK16" s="33">
        <v>45.28</v>
      </c>
      <c r="DL16" s="33">
        <v>44.62</v>
      </c>
      <c r="DM16" s="33">
        <v>46.24</v>
      </c>
      <c r="DN16" s="33">
        <v>46.37</v>
      </c>
      <c r="DO16" s="33">
        <v>45.695</v>
      </c>
      <c r="DP16" s="33">
        <v>45.18</v>
      </c>
      <c r="DQ16" s="33">
        <v>43.93</v>
      </c>
      <c r="DR16" s="33">
        <v>43.19</v>
      </c>
      <c r="DS16" s="33">
        <v>44.12</v>
      </c>
      <c r="DT16" s="33">
        <v>43.805</v>
      </c>
      <c r="DU16" s="33">
        <v>44.12</v>
      </c>
      <c r="DV16" s="33">
        <v>43.774999999999999</v>
      </c>
      <c r="DW16" s="33">
        <v>43.414999999999999</v>
      </c>
      <c r="DX16" s="33">
        <v>42.814999999999998</v>
      </c>
      <c r="DY16" s="33">
        <v>43.314999999999998</v>
      </c>
      <c r="DZ16" s="33">
        <v>43.374000000000002</v>
      </c>
      <c r="EA16" s="33">
        <v>42.081000000000003</v>
      </c>
      <c r="EB16" s="33">
        <v>42.32</v>
      </c>
      <c r="EC16" s="33">
        <v>43.61</v>
      </c>
      <c r="ED16" s="33">
        <v>42.8</v>
      </c>
      <c r="EE16" s="33">
        <v>43.61</v>
      </c>
      <c r="EF16" s="33">
        <v>43.83</v>
      </c>
      <c r="EG16" s="33">
        <v>43.07</v>
      </c>
      <c r="EH16" s="33">
        <v>42.856999999999999</v>
      </c>
      <c r="EI16" s="33">
        <v>42.954999999999998</v>
      </c>
      <c r="EJ16" s="33">
        <v>42.267000000000003</v>
      </c>
      <c r="EK16" s="33">
        <v>43.51</v>
      </c>
      <c r="EL16" s="33">
        <v>42.36</v>
      </c>
      <c r="EM16" s="33">
        <v>41.823</v>
      </c>
      <c r="EN16" s="33">
        <v>42.23</v>
      </c>
      <c r="EO16" s="33">
        <v>41.825000000000003</v>
      </c>
      <c r="EP16" s="33">
        <v>41.277999999999999</v>
      </c>
      <c r="EQ16" s="33">
        <v>40.813000000000002</v>
      </c>
      <c r="ER16" s="33">
        <v>41</v>
      </c>
      <c r="ES16" s="33">
        <v>40.6</v>
      </c>
      <c r="ET16" s="33">
        <v>40.715000000000003</v>
      </c>
      <c r="EU16" s="33">
        <v>40.795000000000002</v>
      </c>
      <c r="EV16" s="33">
        <v>41.13</v>
      </c>
      <c r="EW16" s="33">
        <v>42.28</v>
      </c>
      <c r="EX16" s="33">
        <v>43.408000000000001</v>
      </c>
      <c r="EY16" s="33">
        <v>43.38</v>
      </c>
      <c r="EZ16" s="33">
        <v>44.64</v>
      </c>
      <c r="FA16" s="33">
        <v>43.35</v>
      </c>
      <c r="FB16" s="33">
        <v>43.1</v>
      </c>
      <c r="FC16" s="33">
        <v>43.74</v>
      </c>
      <c r="FD16" s="58">
        <v>44.395000000000003</v>
      </c>
      <c r="FE16" s="58">
        <v>45.32</v>
      </c>
      <c r="FF16" s="58">
        <v>44.664999999999999</v>
      </c>
      <c r="FG16" s="58">
        <v>44.884999999999998</v>
      </c>
      <c r="FH16" s="58">
        <v>44.484999999999999</v>
      </c>
      <c r="FI16" s="58">
        <v>43.9</v>
      </c>
      <c r="FJ16" s="58">
        <v>43.75</v>
      </c>
      <c r="FK16" s="58">
        <v>43.4</v>
      </c>
      <c r="FL16" s="58">
        <v>43.692</v>
      </c>
      <c r="FM16" s="58">
        <v>45.061999999999998</v>
      </c>
      <c r="FN16" s="58">
        <v>44.9</v>
      </c>
      <c r="FO16" s="58">
        <v>44.85</v>
      </c>
      <c r="FP16" s="58">
        <v>44.698</v>
      </c>
      <c r="FQ16" s="58">
        <v>43.984999999999999</v>
      </c>
      <c r="FR16" s="58">
        <v>44.024999999999999</v>
      </c>
      <c r="FS16" s="58">
        <v>44.77</v>
      </c>
      <c r="FT16" s="58">
        <v>44.31</v>
      </c>
      <c r="FU16" s="58">
        <v>44.587000000000003</v>
      </c>
      <c r="FV16" s="58">
        <v>45.07</v>
      </c>
      <c r="FW16" s="58">
        <v>45.631</v>
      </c>
      <c r="FX16" s="58">
        <v>46.680999999999997</v>
      </c>
      <c r="FY16" s="58">
        <v>46.884999999999998</v>
      </c>
      <c r="FZ16" s="58">
        <v>46.926000000000002</v>
      </c>
      <c r="GA16" s="58">
        <v>47.076999999999998</v>
      </c>
      <c r="GB16" s="58">
        <v>46.93</v>
      </c>
      <c r="GC16" s="58">
        <v>47.707000000000001</v>
      </c>
      <c r="GD16" s="58">
        <v>47.396999999999998</v>
      </c>
      <c r="GE16" s="58">
        <v>46.005000000000003</v>
      </c>
      <c r="GF16" s="58">
        <v>46.792000000000002</v>
      </c>
      <c r="GG16" s="58">
        <v>46.69</v>
      </c>
      <c r="GH16" s="58">
        <v>46.902000000000001</v>
      </c>
      <c r="GI16" s="58">
        <v>47.058999999999997</v>
      </c>
      <c r="GJ16" s="58">
        <v>46.432000000000002</v>
      </c>
      <c r="GK16" s="58">
        <v>48.164000000000001</v>
      </c>
      <c r="GL16" s="58">
        <v>48.41</v>
      </c>
      <c r="GM16" s="58">
        <v>49.753</v>
      </c>
      <c r="GN16" s="58">
        <v>49.72</v>
      </c>
      <c r="GO16" s="58">
        <v>49.738999999999997</v>
      </c>
      <c r="GP16" s="58">
        <v>50.27</v>
      </c>
      <c r="GQ16" s="58">
        <v>50.154000000000003</v>
      </c>
      <c r="GR16" s="58">
        <v>50.113</v>
      </c>
      <c r="GS16" s="58">
        <v>49.765000000000001</v>
      </c>
      <c r="GT16" s="58">
        <v>50.529000000000003</v>
      </c>
      <c r="GU16" s="58">
        <v>50.527999999999999</v>
      </c>
      <c r="GV16" s="58">
        <v>51.136000000000003</v>
      </c>
      <c r="GW16" s="58">
        <v>50.927999999999997</v>
      </c>
      <c r="GX16" s="58">
        <v>51.625</v>
      </c>
      <c r="GY16" s="58">
        <v>50.216000000000001</v>
      </c>
      <c r="GZ16" s="58">
        <v>49.878999999999998</v>
      </c>
      <c r="HA16" s="58">
        <v>51.207999999999998</v>
      </c>
      <c r="HB16" s="58">
        <v>52</v>
      </c>
      <c r="HC16" s="58">
        <v>52.258000000000003</v>
      </c>
      <c r="HD16" s="58">
        <v>51.884999999999998</v>
      </c>
      <c r="HE16" s="58">
        <v>52.62</v>
      </c>
      <c r="HF16" s="58">
        <v>53.51</v>
      </c>
      <c r="HG16" s="58">
        <v>53.186999999999998</v>
      </c>
      <c r="HH16" s="58">
        <v>53.499000000000002</v>
      </c>
      <c r="HI16" s="58">
        <v>54.125</v>
      </c>
      <c r="HJ16" s="58">
        <v>53.54</v>
      </c>
      <c r="HK16" s="90">
        <v>52.4</v>
      </c>
      <c r="HL16" s="90">
        <v>52.505000000000003</v>
      </c>
      <c r="HM16" s="90">
        <v>52.31</v>
      </c>
      <c r="HN16" s="90">
        <v>51.89</v>
      </c>
      <c r="HO16" s="90">
        <v>52.75</v>
      </c>
      <c r="HP16" s="90">
        <v>52.097999999999999</v>
      </c>
      <c r="HQ16" s="90">
        <v>52.17</v>
      </c>
      <c r="HR16" s="90">
        <v>51.27</v>
      </c>
      <c r="HS16" s="90">
        <v>50.82</v>
      </c>
      <c r="HT16" s="90">
        <v>52.13</v>
      </c>
      <c r="HU16" s="90">
        <v>51.863</v>
      </c>
      <c r="HV16" s="90">
        <v>50.918999999999997</v>
      </c>
      <c r="HW16" s="90">
        <v>50.761000000000003</v>
      </c>
      <c r="HX16" s="90">
        <v>50.62</v>
      </c>
      <c r="HY16" s="90">
        <v>50.976999999999997</v>
      </c>
      <c r="HZ16" s="90">
        <v>50.813000000000002</v>
      </c>
      <c r="IA16" s="90">
        <v>50.9</v>
      </c>
      <c r="IB16" s="90">
        <v>50.48</v>
      </c>
      <c r="IC16" s="90">
        <v>50.69</v>
      </c>
      <c r="ID16" s="90">
        <v>49.853000000000002</v>
      </c>
      <c r="IE16" s="90">
        <v>49.14</v>
      </c>
      <c r="IF16" s="90">
        <v>48.506999999999998</v>
      </c>
      <c r="IG16" s="90">
        <v>48.49</v>
      </c>
      <c r="IH16" s="90">
        <v>48.37</v>
      </c>
      <c r="II16" s="90">
        <v>48.07</v>
      </c>
      <c r="IJ16" s="90">
        <v>48.024000000000001</v>
      </c>
      <c r="IK16" s="90">
        <v>48.106000000000002</v>
      </c>
      <c r="IL16" s="90">
        <v>48.604999999999997</v>
      </c>
      <c r="IM16" s="90">
        <v>48.54</v>
      </c>
      <c r="IN16" s="90">
        <v>48.465000000000003</v>
      </c>
      <c r="IO16" s="90">
        <v>47.795000000000002</v>
      </c>
      <c r="IP16" s="90">
        <v>48.5</v>
      </c>
      <c r="IQ16" s="90">
        <v>50.305</v>
      </c>
      <c r="IR16" s="90">
        <v>49.82</v>
      </c>
      <c r="IS16" s="90">
        <v>50.85</v>
      </c>
      <c r="IT16" s="90">
        <v>50.72</v>
      </c>
      <c r="IU16" s="90">
        <v>50.363999999999997</v>
      </c>
      <c r="IV16" s="90">
        <v>50.978000000000002</v>
      </c>
      <c r="IW16" s="90">
        <v>51.22</v>
      </c>
      <c r="IX16" s="90">
        <v>51.34</v>
      </c>
      <c r="IY16" s="90">
        <v>52.01</v>
      </c>
      <c r="IZ16" s="90">
        <v>52.24</v>
      </c>
      <c r="JA16" s="90">
        <v>52.3</v>
      </c>
      <c r="JB16" s="90">
        <v>55.05</v>
      </c>
      <c r="JC16" s="90">
        <v>55.8</v>
      </c>
      <c r="JD16" s="90">
        <v>56.2</v>
      </c>
      <c r="JE16" s="90">
        <v>58.97</v>
      </c>
      <c r="JF16" s="90">
        <v>57.965000000000003</v>
      </c>
      <c r="JG16" s="90">
        <v>56.56</v>
      </c>
      <c r="JH16" s="90">
        <v>55.695</v>
      </c>
      <c r="JI16" s="90">
        <v>54.64</v>
      </c>
      <c r="JJ16" s="90">
        <v>55.32</v>
      </c>
      <c r="JK16" s="90">
        <v>54.353999999999999</v>
      </c>
      <c r="JL16" s="90">
        <v>55.365000000000002</v>
      </c>
      <c r="JM16" s="90">
        <v>56.16</v>
      </c>
      <c r="JN16" s="90">
        <v>55.19</v>
      </c>
      <c r="JO16" s="90">
        <v>54.87</v>
      </c>
      <c r="JP16" s="90">
        <v>56.57</v>
      </c>
      <c r="JQ16" s="90">
        <v>56.57</v>
      </c>
      <c r="JR16" s="90">
        <v>56.72</v>
      </c>
      <c r="JS16" s="90">
        <v>55.484999999999999</v>
      </c>
      <c r="JT16" s="90">
        <v>55.365000000000002</v>
      </c>
      <c r="JU16" s="90">
        <v>56.28</v>
      </c>
      <c r="JV16" s="90">
        <v>56.2</v>
      </c>
      <c r="JW16" s="90">
        <v>56.204999999999998</v>
      </c>
      <c r="JX16" s="90">
        <v>57.755000000000003</v>
      </c>
      <c r="JY16" s="90">
        <v>58.494999999999997</v>
      </c>
      <c r="JZ16" s="90">
        <v>58.61</v>
      </c>
      <c r="KA16" s="90">
        <v>58.35</v>
      </c>
      <c r="KB16" s="90">
        <v>56.283000000000001</v>
      </c>
      <c r="KC16" s="90">
        <v>56.03</v>
      </c>
      <c r="KD16" s="90">
        <v>58.1</v>
      </c>
      <c r="KE16" s="90">
        <v>58.62</v>
      </c>
      <c r="KF16" s="90">
        <v>57.841999999999999</v>
      </c>
      <c r="KG16" s="90">
        <v>58.375</v>
      </c>
      <c r="KH16" s="90">
        <v>57.98</v>
      </c>
      <c r="KI16" s="90">
        <v>57.22</v>
      </c>
      <c r="KJ16" s="90">
        <v>56.14</v>
      </c>
      <c r="KK16" s="90">
        <v>55.734999999999999</v>
      </c>
      <c r="KL16" s="90">
        <v>56.311</v>
      </c>
      <c r="KM16" s="90">
        <v>58.31</v>
      </c>
      <c r="KN16" s="90">
        <v>57.13</v>
      </c>
      <c r="KO16" s="90">
        <v>58.19</v>
      </c>
      <c r="KP16" s="90">
        <v>58.85</v>
      </c>
      <c r="KQ16" s="90">
        <v>58.62</v>
      </c>
      <c r="KR16" s="90">
        <v>58.81</v>
      </c>
      <c r="KS16" s="90">
        <v>58.86</v>
      </c>
    </row>
    <row r="17" spans="1:305" ht="23.25" customHeight="1" x14ac:dyDescent="0.2">
      <c r="A17" s="28" t="s">
        <v>7</v>
      </c>
      <c r="B17" s="15" t="s">
        <v>23</v>
      </c>
      <c r="C17" s="75">
        <v>1.67</v>
      </c>
      <c r="D17" s="12">
        <v>1.7290000000000001</v>
      </c>
      <c r="E17" s="12">
        <v>1.7442</v>
      </c>
      <c r="F17" s="12">
        <v>1.7404999999999999</v>
      </c>
      <c r="G17" s="12">
        <v>1.7949999999999999</v>
      </c>
      <c r="H17" s="12">
        <v>1.8177000000000001</v>
      </c>
      <c r="I17" s="10">
        <v>1.81</v>
      </c>
      <c r="J17" s="10">
        <v>1.82</v>
      </c>
      <c r="K17" s="10">
        <v>1.8</v>
      </c>
      <c r="L17" s="10">
        <v>1.74</v>
      </c>
      <c r="M17" s="10">
        <v>1.77</v>
      </c>
      <c r="N17" s="12">
        <v>1.8254999999999999</v>
      </c>
      <c r="O17" s="12">
        <v>1.8331999999999999</v>
      </c>
      <c r="P17" s="12">
        <v>1.8508</v>
      </c>
      <c r="Q17" s="12">
        <v>1.8325</v>
      </c>
      <c r="R17" s="12">
        <v>1.8346</v>
      </c>
      <c r="S17" s="12">
        <v>1.8431999999999999</v>
      </c>
      <c r="T17" s="12">
        <v>1.802</v>
      </c>
      <c r="U17" s="12">
        <v>1.7849999999999999</v>
      </c>
      <c r="V17" s="12">
        <v>1.766</v>
      </c>
      <c r="W17" s="12">
        <v>1.7658</v>
      </c>
      <c r="X17" s="12">
        <v>1.7492000000000001</v>
      </c>
      <c r="Y17" s="12">
        <v>1.7777000000000001</v>
      </c>
      <c r="Z17" s="12">
        <v>1.7698</v>
      </c>
      <c r="AA17" s="12">
        <v>1.762</v>
      </c>
      <c r="AB17" s="12">
        <v>1.734</v>
      </c>
      <c r="AC17" s="12">
        <v>1.7383999999999999</v>
      </c>
      <c r="AD17" s="12">
        <v>1.7364999999999999</v>
      </c>
      <c r="AE17" s="12">
        <v>1.7668999999999999</v>
      </c>
      <c r="AF17" s="12">
        <v>1.7747999999999999</v>
      </c>
      <c r="AG17" s="12">
        <v>1.7275</v>
      </c>
      <c r="AH17" s="12">
        <v>1.7565</v>
      </c>
      <c r="AI17" s="12">
        <v>1.7577</v>
      </c>
      <c r="AJ17" s="12">
        <v>1.7544999999999999</v>
      </c>
      <c r="AK17" s="12">
        <v>1.7282</v>
      </c>
      <c r="AL17" s="12">
        <v>1.7443</v>
      </c>
      <c r="AM17" s="12">
        <v>1.726</v>
      </c>
      <c r="AN17" s="12">
        <v>1.726</v>
      </c>
      <c r="AO17" s="12">
        <v>1.726</v>
      </c>
      <c r="AP17" s="12">
        <v>1.7032</v>
      </c>
      <c r="AQ17" s="12">
        <v>1.6797</v>
      </c>
      <c r="AR17" s="12">
        <v>1.7057</v>
      </c>
      <c r="AS17" s="12">
        <v>1.698</v>
      </c>
      <c r="AT17" s="12">
        <v>1.7151000000000001</v>
      </c>
      <c r="AU17" s="12">
        <v>1.7263999999999999</v>
      </c>
      <c r="AV17" s="12">
        <v>1.7136</v>
      </c>
      <c r="AW17" s="12">
        <v>1.6924999999999999</v>
      </c>
      <c r="AX17" s="12">
        <v>1.6657</v>
      </c>
      <c r="AY17" s="12">
        <v>1.639</v>
      </c>
      <c r="AZ17" s="12">
        <v>1.6487000000000001</v>
      </c>
      <c r="BA17" s="12">
        <v>1.6353</v>
      </c>
      <c r="BB17" s="12">
        <v>1.6232</v>
      </c>
      <c r="BC17" s="12">
        <v>1.6477999999999999</v>
      </c>
      <c r="BD17" s="12">
        <v>1.6380999999999999</v>
      </c>
      <c r="BE17" s="12">
        <v>1.6576</v>
      </c>
      <c r="BF17" s="12">
        <v>1.6850000000000001</v>
      </c>
      <c r="BG17" s="12">
        <v>1.6641999999999999</v>
      </c>
      <c r="BH17" s="12">
        <v>1.6847000000000001</v>
      </c>
      <c r="BI17" s="12">
        <v>1.6899</v>
      </c>
      <c r="BJ17" s="12">
        <v>1.6870000000000001</v>
      </c>
      <c r="BK17" s="12">
        <v>1.6946000000000001</v>
      </c>
      <c r="BL17" s="12">
        <v>1.6642999999999999</v>
      </c>
      <c r="BM17" s="12">
        <v>1.6288</v>
      </c>
      <c r="BN17" s="12">
        <v>1.6223000000000001</v>
      </c>
      <c r="BO17" s="12">
        <v>1.6173999999999999</v>
      </c>
      <c r="BP17" s="12">
        <v>1.5827</v>
      </c>
      <c r="BQ17" s="12">
        <v>1.5785</v>
      </c>
      <c r="BR17" s="12">
        <v>1.5911999999999999</v>
      </c>
      <c r="BS17" s="12">
        <v>1.5793999999999999</v>
      </c>
      <c r="BT17" s="12">
        <v>1.5728</v>
      </c>
      <c r="BU17" s="12">
        <v>1.5875999999999999</v>
      </c>
      <c r="BV17" s="12">
        <v>1.5664</v>
      </c>
      <c r="BW17" s="12">
        <v>1.5456000000000001</v>
      </c>
      <c r="BX17" s="12">
        <v>1.5409999999999999</v>
      </c>
      <c r="BY17" s="12">
        <v>1.5409999999999999</v>
      </c>
      <c r="BZ17" s="12">
        <v>1.5293000000000001</v>
      </c>
      <c r="CA17" s="12">
        <v>1.5164</v>
      </c>
      <c r="CB17" s="12">
        <v>1.5187999999999999</v>
      </c>
      <c r="CC17" s="12">
        <v>1.5285</v>
      </c>
      <c r="CD17" s="12">
        <v>1.5326</v>
      </c>
      <c r="CE17" s="12">
        <v>1.5118</v>
      </c>
      <c r="CF17" s="12">
        <v>1.5235000000000001</v>
      </c>
      <c r="CG17" s="12">
        <v>1.4894000000000001</v>
      </c>
      <c r="CH17" s="12">
        <v>1.4528000000000001</v>
      </c>
      <c r="CI17" s="12">
        <v>1.4459</v>
      </c>
      <c r="CJ17" s="12">
        <v>1.4443999999999999</v>
      </c>
      <c r="CK17" s="12">
        <v>1.4189000000000001</v>
      </c>
      <c r="CL17" s="12">
        <v>1.3918999999999999</v>
      </c>
      <c r="CM17" s="12">
        <v>1.3812</v>
      </c>
      <c r="CN17" s="12">
        <v>1.3611</v>
      </c>
      <c r="CO17" s="12">
        <v>1.3662000000000001</v>
      </c>
      <c r="CP17" s="12">
        <v>1.3603000000000001</v>
      </c>
      <c r="CQ17" s="37">
        <v>1.3693</v>
      </c>
      <c r="CR17" s="37">
        <v>1.4177999999999999</v>
      </c>
      <c r="CS17" s="37">
        <v>1.4215</v>
      </c>
      <c r="CT17" s="37">
        <v>1.4829000000000001</v>
      </c>
      <c r="CU17" s="37">
        <v>1.5083</v>
      </c>
      <c r="CV17" s="37">
        <v>1.4379</v>
      </c>
      <c r="CW17" s="37">
        <v>1.5079</v>
      </c>
      <c r="CX17" s="37">
        <v>1.5426</v>
      </c>
      <c r="CY17" s="37">
        <v>1.5218</v>
      </c>
      <c r="CZ17" s="37">
        <v>1.4846999999999999</v>
      </c>
      <c r="DA17" s="37">
        <v>1.4515</v>
      </c>
      <c r="DB17" s="37">
        <v>1.4502999999999999</v>
      </c>
      <c r="DC17" s="37">
        <v>1.4417</v>
      </c>
      <c r="DD17" s="37">
        <v>1.4411</v>
      </c>
      <c r="DE17" s="37">
        <v>1.4166000000000001</v>
      </c>
      <c r="DF17" s="37">
        <v>1.3968</v>
      </c>
      <c r="DG17" s="37">
        <v>1.3839999999999999</v>
      </c>
      <c r="DH17" s="37">
        <v>1.4038999999999999</v>
      </c>
      <c r="DI17" s="37">
        <v>1.4053</v>
      </c>
      <c r="DJ17" s="37">
        <v>1.409</v>
      </c>
      <c r="DK17" s="37">
        <v>1.3989</v>
      </c>
      <c r="DL17" s="37">
        <v>1.3701000000000001</v>
      </c>
      <c r="DM17" s="37">
        <v>1.4</v>
      </c>
      <c r="DN17" s="37">
        <v>1.4037999999999999</v>
      </c>
      <c r="DO17" s="37">
        <v>1.3634999999999999</v>
      </c>
      <c r="DP17" s="37">
        <v>1.3566</v>
      </c>
      <c r="DQ17" s="37">
        <v>1.3166</v>
      </c>
      <c r="DR17" s="37">
        <v>1.3023</v>
      </c>
      <c r="DS17" s="37">
        <v>1.3193999999999999</v>
      </c>
      <c r="DT17" s="37">
        <v>1.2886</v>
      </c>
      <c r="DU17" s="37">
        <v>1.2865</v>
      </c>
      <c r="DV17" s="37">
        <v>1.2751999999999999</v>
      </c>
      <c r="DW17" s="37">
        <v>1.2616000000000001</v>
      </c>
      <c r="DX17" s="37">
        <v>1.2263999999999999</v>
      </c>
      <c r="DY17" s="37">
        <v>1.2318</v>
      </c>
      <c r="DZ17" s="37">
        <v>1.2318</v>
      </c>
      <c r="EA17" s="37">
        <v>1.2025999999999999</v>
      </c>
      <c r="EB17" s="37">
        <v>1.2064999999999999</v>
      </c>
      <c r="EC17" s="37">
        <v>1.2952999999999999</v>
      </c>
      <c r="ED17" s="37">
        <v>1.2430000000000001</v>
      </c>
      <c r="EE17" s="37">
        <v>1.2957000000000001</v>
      </c>
      <c r="EF17" s="37">
        <v>1.2991999999999999</v>
      </c>
      <c r="EG17" s="37">
        <v>1.2581</v>
      </c>
      <c r="EH17" s="37">
        <v>1.2477</v>
      </c>
      <c r="EI17" s="37">
        <v>1.2585999999999999</v>
      </c>
      <c r="EJ17" s="37">
        <v>1.2381</v>
      </c>
      <c r="EK17" s="37">
        <v>1.2894000000000001</v>
      </c>
      <c r="EL17" s="37">
        <v>1.2806999999999999</v>
      </c>
      <c r="EM17" s="37">
        <v>1.2465999999999999</v>
      </c>
      <c r="EN17" s="37">
        <v>1.2533000000000001</v>
      </c>
      <c r="EO17" s="37">
        <v>1.226</v>
      </c>
      <c r="EP17" s="37">
        <v>1.2216</v>
      </c>
      <c r="EQ17" s="37">
        <v>1.2209000000000001</v>
      </c>
      <c r="ER17" s="37">
        <v>1.2229000000000001</v>
      </c>
      <c r="ES17" s="37">
        <v>1.2359</v>
      </c>
      <c r="ET17" s="37">
        <v>1.2362</v>
      </c>
      <c r="EU17" s="37">
        <v>1.2405999999999999</v>
      </c>
      <c r="EV17" s="37">
        <v>1.2338</v>
      </c>
      <c r="EW17" s="37">
        <v>1.2592000000000001</v>
      </c>
      <c r="EX17" s="37">
        <v>1.2665</v>
      </c>
      <c r="EY17" s="37">
        <v>1.2706999999999999</v>
      </c>
      <c r="EZ17" s="37">
        <v>1.2758</v>
      </c>
      <c r="FA17" s="37">
        <v>1.2573000000000001</v>
      </c>
      <c r="FB17" s="37">
        <v>1.2397</v>
      </c>
      <c r="FC17" s="37">
        <v>1.2556</v>
      </c>
      <c r="FD17" s="62">
        <v>1.2670999999999999</v>
      </c>
      <c r="FE17" s="62">
        <v>1.2746</v>
      </c>
      <c r="FF17" s="62">
        <v>1.2641</v>
      </c>
      <c r="FG17" s="62">
        <v>1.2601</v>
      </c>
      <c r="FH17" s="62">
        <v>1.2555000000000001</v>
      </c>
      <c r="FI17" s="62">
        <v>1.2542</v>
      </c>
      <c r="FJ17" s="62">
        <v>1.2497</v>
      </c>
      <c r="FK17" s="62">
        <v>1.2446999999999999</v>
      </c>
      <c r="FL17" s="62">
        <v>1.2485999999999999</v>
      </c>
      <c r="FM17" s="62">
        <v>1.2744</v>
      </c>
      <c r="FN17" s="62">
        <v>1.2775000000000001</v>
      </c>
      <c r="FO17" s="62">
        <v>1.3003</v>
      </c>
      <c r="FP17" s="62">
        <v>1.3217000000000001</v>
      </c>
      <c r="FQ17" s="62">
        <v>1.3525</v>
      </c>
      <c r="FR17" s="62">
        <v>1.3563000000000001</v>
      </c>
      <c r="FS17" s="62">
        <v>1.3759999999999999</v>
      </c>
      <c r="FT17" s="62">
        <v>1.321</v>
      </c>
      <c r="FU17" s="62">
        <v>1.3484</v>
      </c>
      <c r="FV17" s="62">
        <v>1.3461000000000001</v>
      </c>
      <c r="FW17" s="62">
        <v>1.3732</v>
      </c>
      <c r="FX17" s="62">
        <v>1.409</v>
      </c>
      <c r="FY17" s="62">
        <v>1.4275</v>
      </c>
      <c r="FZ17" s="62">
        <v>1.401</v>
      </c>
      <c r="GA17" s="62">
        <v>1.4129</v>
      </c>
      <c r="GB17" s="62">
        <v>1.4145000000000001</v>
      </c>
      <c r="GC17" s="62">
        <v>1.4279999999999999</v>
      </c>
      <c r="GD17" s="62">
        <v>1.4113</v>
      </c>
      <c r="GE17" s="62">
        <v>1.3507</v>
      </c>
      <c r="GF17" s="62">
        <v>1.3441000000000001</v>
      </c>
      <c r="GG17" s="62">
        <v>1.3792</v>
      </c>
      <c r="GH17" s="62">
        <v>1.3466</v>
      </c>
      <c r="GI17" s="62">
        <v>1.3520000000000001</v>
      </c>
      <c r="GJ17" s="62">
        <v>1.3636999999999999</v>
      </c>
      <c r="GK17" s="62">
        <v>1.359</v>
      </c>
      <c r="GL17" s="62">
        <v>1.3926000000000001</v>
      </c>
      <c r="GM17" s="62">
        <v>1.4240999999999999</v>
      </c>
      <c r="GN17" s="62">
        <v>1.446</v>
      </c>
      <c r="GO17" s="62">
        <v>1.42</v>
      </c>
      <c r="GP17" s="62">
        <v>1.4056</v>
      </c>
      <c r="GQ17" s="62">
        <v>1.3976999999999999</v>
      </c>
      <c r="GR17" s="62">
        <v>1.3972</v>
      </c>
      <c r="GS17" s="62">
        <v>1.3859999999999999</v>
      </c>
      <c r="GT17" s="62">
        <v>1.3787</v>
      </c>
      <c r="GU17" s="62">
        <v>1.3575999999999999</v>
      </c>
      <c r="GV17" s="62">
        <v>1.3581000000000001</v>
      </c>
      <c r="GW17" s="62">
        <v>1.3583000000000001</v>
      </c>
      <c r="GX17" s="62">
        <v>1.3606</v>
      </c>
      <c r="GY17" s="62">
        <v>1.3473999999999999</v>
      </c>
      <c r="GZ17" s="62">
        <v>1.3379000000000001</v>
      </c>
      <c r="HA17" s="62">
        <v>1.3103</v>
      </c>
      <c r="HB17" s="62">
        <v>1.3247</v>
      </c>
      <c r="HC17" s="62">
        <v>1.3115000000000001</v>
      </c>
      <c r="HD17" s="62">
        <v>1.3240000000000001</v>
      </c>
      <c r="HE17" s="62">
        <v>1.3392999999999999</v>
      </c>
      <c r="HF17" s="62">
        <v>1.3673</v>
      </c>
      <c r="HG17" s="62">
        <v>1.3604000000000001</v>
      </c>
      <c r="HH17" s="62">
        <v>1.3681000000000001</v>
      </c>
      <c r="HI17" s="62">
        <v>1.3681000000000001</v>
      </c>
      <c r="HJ17" s="62">
        <v>1.3853</v>
      </c>
      <c r="HK17" s="94">
        <v>1.3696999999999999</v>
      </c>
      <c r="HL17" s="94">
        <v>1.3655999999999999</v>
      </c>
      <c r="HM17" s="94">
        <v>1.3465</v>
      </c>
      <c r="HN17" s="94">
        <v>1.3479000000000001</v>
      </c>
      <c r="HO17" s="94">
        <v>1.3559000000000001</v>
      </c>
      <c r="HP17" s="94">
        <v>1.3613999999999999</v>
      </c>
      <c r="HQ17" s="94">
        <v>1.3804000000000001</v>
      </c>
      <c r="HR17" s="94">
        <v>1.3528</v>
      </c>
      <c r="HS17" s="94">
        <v>1.3707</v>
      </c>
      <c r="HT17" s="94">
        <v>1.3876999999999999</v>
      </c>
      <c r="HU17" s="94">
        <v>1.3814</v>
      </c>
      <c r="HV17" s="94">
        <v>1.3613999999999999</v>
      </c>
      <c r="HW17" s="94">
        <v>1.3657999999999999</v>
      </c>
      <c r="HX17" s="94">
        <v>1.3482000000000001</v>
      </c>
      <c r="HY17" s="94">
        <v>1.3624000000000001</v>
      </c>
      <c r="HZ17" s="94">
        <v>1.3947000000000001</v>
      </c>
      <c r="IA17" s="94">
        <v>1.4237</v>
      </c>
      <c r="IB17" s="94">
        <v>1.4113</v>
      </c>
      <c r="IC17" s="94">
        <v>1.4178999999999999</v>
      </c>
      <c r="ID17" s="94">
        <v>1.3932</v>
      </c>
      <c r="IE17" s="94">
        <v>1.371</v>
      </c>
      <c r="IF17" s="94">
        <v>1.3582000000000001</v>
      </c>
      <c r="IG17" s="94">
        <v>1.3682000000000001</v>
      </c>
      <c r="IH17" s="94">
        <v>1.3617999999999999</v>
      </c>
      <c r="II17" s="94">
        <v>1.3373999999999999</v>
      </c>
      <c r="IJ17" s="94">
        <v>1.3224</v>
      </c>
      <c r="IK17" s="94">
        <v>1.3288</v>
      </c>
      <c r="IL17" s="94">
        <v>1.3284</v>
      </c>
      <c r="IM17" s="94">
        <v>1.3471</v>
      </c>
      <c r="IN17" s="94">
        <v>1.3244</v>
      </c>
      <c r="IO17" s="94">
        <v>1.3241000000000001</v>
      </c>
      <c r="IP17" s="94">
        <v>1.3451</v>
      </c>
      <c r="IQ17" s="94">
        <v>1.3527</v>
      </c>
      <c r="IR17" s="94">
        <v>1.3451</v>
      </c>
      <c r="IS17" s="94">
        <v>1.361</v>
      </c>
      <c r="IT17" s="94">
        <v>1.3491</v>
      </c>
      <c r="IU17" s="94">
        <v>1.3685</v>
      </c>
      <c r="IV17" s="94">
        <v>1.3513999999999999</v>
      </c>
      <c r="IW17" s="94">
        <v>1.3557999999999999</v>
      </c>
      <c r="IX17" s="94">
        <v>1.3583000000000001</v>
      </c>
      <c r="IY17" s="94">
        <v>1.3526</v>
      </c>
      <c r="IZ17" s="94">
        <v>1.3855</v>
      </c>
      <c r="JA17" s="94">
        <v>1.3668</v>
      </c>
      <c r="JB17" s="94">
        <v>1.3928</v>
      </c>
      <c r="JC17" s="94">
        <v>1.3794</v>
      </c>
      <c r="JD17" s="94">
        <v>1.3976999999999999</v>
      </c>
      <c r="JE17" s="94">
        <v>1.431</v>
      </c>
      <c r="JF17" s="94">
        <v>1.4108000000000001</v>
      </c>
      <c r="JG17" s="94">
        <v>1.3754</v>
      </c>
      <c r="JH17" s="94">
        <v>1.3424</v>
      </c>
      <c r="JI17" s="94">
        <v>1.3169</v>
      </c>
      <c r="JJ17" s="94">
        <v>1.3494999999999999</v>
      </c>
      <c r="JK17" s="94">
        <v>1.3298000000000001</v>
      </c>
      <c r="JL17" s="94">
        <v>1.3373999999999999</v>
      </c>
      <c r="JM17" s="94">
        <v>1.3549</v>
      </c>
      <c r="JN17" s="94">
        <v>1.357</v>
      </c>
      <c r="JO17" s="94">
        <v>1.3303</v>
      </c>
      <c r="JP17" s="94">
        <v>1.3513999999999999</v>
      </c>
      <c r="JQ17" s="94">
        <v>1.3614999999999999</v>
      </c>
      <c r="JR17" s="94">
        <v>1.3654999999999999</v>
      </c>
      <c r="JS17" s="94">
        <v>1.3342000000000001</v>
      </c>
      <c r="JT17" s="94">
        <v>1.319</v>
      </c>
      <c r="JU17" s="94">
        <v>1.3398000000000001</v>
      </c>
      <c r="JV17" s="94">
        <v>1.3446</v>
      </c>
      <c r="JW17" s="94">
        <v>1.3492999999999999</v>
      </c>
      <c r="JX17" s="94">
        <v>1.3617999999999999</v>
      </c>
      <c r="JY17" s="94">
        <v>1.3521000000000001</v>
      </c>
      <c r="JZ17" s="94">
        <v>1.3572</v>
      </c>
      <c r="KA17" s="94">
        <v>1.34</v>
      </c>
      <c r="KB17" s="94">
        <v>1.3024</v>
      </c>
      <c r="KC17" s="94">
        <v>1.2799</v>
      </c>
      <c r="KD17" s="94">
        <v>1.3212999999999999</v>
      </c>
      <c r="KE17" s="94">
        <v>1.3394999999999999</v>
      </c>
      <c r="KF17" s="94">
        <v>1.3603000000000001</v>
      </c>
      <c r="KG17" s="94">
        <v>1.3551</v>
      </c>
      <c r="KH17" s="94">
        <v>1.3485</v>
      </c>
      <c r="KI17" s="94">
        <v>1.3415999999999999</v>
      </c>
      <c r="KJ17" s="94">
        <v>1.306</v>
      </c>
      <c r="KK17" s="94">
        <v>1.2904</v>
      </c>
      <c r="KL17" s="94">
        <v>1.2745</v>
      </c>
      <c r="KM17" s="94">
        <v>1.2952999999999999</v>
      </c>
      <c r="KN17" s="94">
        <v>1.2838000000000001</v>
      </c>
      <c r="KO17" s="94">
        <v>1.2891999999999999</v>
      </c>
      <c r="KP17" s="94">
        <v>1.3007</v>
      </c>
      <c r="KQ17" s="94">
        <v>1.2983</v>
      </c>
      <c r="KR17" s="94">
        <v>1.2861</v>
      </c>
      <c r="KS17" s="94">
        <v>1.2664</v>
      </c>
    </row>
    <row r="18" spans="1:305" ht="23.25" customHeight="1" x14ac:dyDescent="0.2">
      <c r="A18" s="28" t="s">
        <v>8</v>
      </c>
      <c r="B18" s="15" t="s">
        <v>24</v>
      </c>
      <c r="C18" s="75">
        <v>37.450000000000003</v>
      </c>
      <c r="D18" s="10">
        <v>42.63</v>
      </c>
      <c r="E18" s="10">
        <v>42.61</v>
      </c>
      <c r="F18" s="10">
        <v>42.85</v>
      </c>
      <c r="G18" s="10">
        <v>44.73</v>
      </c>
      <c r="H18" s="10">
        <v>45.61</v>
      </c>
      <c r="I18" s="10">
        <v>45.4</v>
      </c>
      <c r="J18" s="10">
        <v>45.14</v>
      </c>
      <c r="K18" s="10">
        <v>45.47</v>
      </c>
      <c r="L18" s="10">
        <v>44.16</v>
      </c>
      <c r="M18" s="10">
        <v>44.37</v>
      </c>
      <c r="N18" s="10">
        <v>44.84</v>
      </c>
      <c r="O18" s="10">
        <v>44.05</v>
      </c>
      <c r="P18" s="10">
        <v>44.17</v>
      </c>
      <c r="Q18" s="10">
        <v>43.945</v>
      </c>
      <c r="R18" s="10">
        <v>43.69</v>
      </c>
      <c r="S18" s="10">
        <v>43.52</v>
      </c>
      <c r="T18" s="10">
        <v>43.19</v>
      </c>
      <c r="U18" s="10">
        <v>42.39</v>
      </c>
      <c r="V18" s="10">
        <v>41.58</v>
      </c>
      <c r="W18" s="10">
        <v>42.104999999999997</v>
      </c>
      <c r="X18" s="10">
        <v>42.19</v>
      </c>
      <c r="Y18" s="10">
        <v>43.4</v>
      </c>
      <c r="Z18" s="10">
        <v>43.36</v>
      </c>
      <c r="AA18" s="10">
        <v>43.38</v>
      </c>
      <c r="AB18" s="10">
        <v>43.22</v>
      </c>
      <c r="AC18" s="10">
        <v>42.6</v>
      </c>
      <c r="AD18" s="10">
        <v>42.85</v>
      </c>
      <c r="AE18" s="10">
        <v>42.75</v>
      </c>
      <c r="AF18" s="10">
        <v>42.67</v>
      </c>
      <c r="AG18" s="10">
        <v>41.8</v>
      </c>
      <c r="AH18" s="10">
        <v>41.5</v>
      </c>
      <c r="AI18" s="10">
        <v>41.8</v>
      </c>
      <c r="AJ18" s="10">
        <v>41.23</v>
      </c>
      <c r="AK18" s="10">
        <v>40.14</v>
      </c>
      <c r="AL18" s="10">
        <v>39.799999999999997</v>
      </c>
      <c r="AM18" s="10">
        <v>39.869999999999997</v>
      </c>
      <c r="AN18" s="10">
        <v>39.53</v>
      </c>
      <c r="AO18" s="10">
        <v>39.17</v>
      </c>
      <c r="AP18" s="10">
        <v>39.15</v>
      </c>
      <c r="AQ18" s="10">
        <v>39.43</v>
      </c>
      <c r="AR18" s="10">
        <v>39.4</v>
      </c>
      <c r="AS18" s="10">
        <v>40.479999999999997</v>
      </c>
      <c r="AT18" s="10">
        <v>40.729999999999997</v>
      </c>
      <c r="AU18" s="10">
        <v>41.45</v>
      </c>
      <c r="AV18" s="10">
        <v>41.66</v>
      </c>
      <c r="AW18" s="10">
        <v>41.52</v>
      </c>
      <c r="AX18" s="10">
        <v>41.06</v>
      </c>
      <c r="AY18" s="10">
        <v>39.46</v>
      </c>
      <c r="AZ18" s="10">
        <v>39.15</v>
      </c>
      <c r="BA18" s="10">
        <v>38.435000000000002</v>
      </c>
      <c r="BB18" s="10">
        <v>38.28</v>
      </c>
      <c r="BC18" s="10">
        <v>39.244999999999997</v>
      </c>
      <c r="BD18" s="10">
        <v>39.515000000000001</v>
      </c>
      <c r="BE18" s="10">
        <v>40.31</v>
      </c>
      <c r="BF18" s="10">
        <v>41.31</v>
      </c>
      <c r="BG18" s="10">
        <v>41.744999999999997</v>
      </c>
      <c r="BH18" s="10">
        <v>41.32</v>
      </c>
      <c r="BI18" s="10">
        <v>41.064999999999998</v>
      </c>
      <c r="BJ18" s="10">
        <v>40.744999999999997</v>
      </c>
      <c r="BK18" s="10">
        <v>41.215000000000003</v>
      </c>
      <c r="BL18" s="10">
        <v>40.98</v>
      </c>
      <c r="BM18" s="10">
        <v>39.115000000000002</v>
      </c>
      <c r="BN18" s="10">
        <v>39.22</v>
      </c>
      <c r="BO18" s="10">
        <v>38.81</v>
      </c>
      <c r="BP18" s="10">
        <v>37.479999999999997</v>
      </c>
      <c r="BQ18" s="10">
        <v>38.24</v>
      </c>
      <c r="BR18" s="10">
        <v>38.33</v>
      </c>
      <c r="BS18" s="10">
        <v>37.85</v>
      </c>
      <c r="BT18" s="10">
        <v>37.585000000000001</v>
      </c>
      <c r="BU18" s="10">
        <v>37.520000000000003</v>
      </c>
      <c r="BV18" s="10">
        <v>36.909999999999997</v>
      </c>
      <c r="BW18" s="10">
        <v>36.04</v>
      </c>
      <c r="BX18" s="10">
        <v>36.1</v>
      </c>
      <c r="BY18" s="10">
        <v>34.65</v>
      </c>
      <c r="BZ18" s="10">
        <v>33.75</v>
      </c>
      <c r="CA18" s="10">
        <v>32.299999999999997</v>
      </c>
      <c r="CB18" s="10">
        <v>32.6</v>
      </c>
      <c r="CC18" s="10">
        <v>32.68</v>
      </c>
      <c r="CD18" s="10">
        <v>31.65</v>
      </c>
      <c r="CE18" s="10">
        <v>29.5</v>
      </c>
      <c r="CF18" s="10">
        <v>32.53</v>
      </c>
      <c r="CG18" s="10">
        <v>31.51</v>
      </c>
      <c r="CH18" s="10">
        <v>31.38</v>
      </c>
      <c r="CI18" s="10">
        <v>30.55</v>
      </c>
      <c r="CJ18" s="10">
        <v>29.85</v>
      </c>
      <c r="CK18" s="10">
        <v>31.4</v>
      </c>
      <c r="CL18" s="10">
        <v>29.37</v>
      </c>
      <c r="CM18" s="10">
        <v>31.42</v>
      </c>
      <c r="CN18" s="10">
        <v>31.67</v>
      </c>
      <c r="CO18" s="10">
        <v>32.46</v>
      </c>
      <c r="CP18" s="10">
        <v>33.51</v>
      </c>
      <c r="CQ18" s="33">
        <v>33.465000000000003</v>
      </c>
      <c r="CR18" s="33">
        <v>34.159999999999997</v>
      </c>
      <c r="CS18" s="33">
        <v>33.94</v>
      </c>
      <c r="CT18" s="33">
        <v>34.79</v>
      </c>
      <c r="CU18" s="33">
        <v>35.31</v>
      </c>
      <c r="CV18" s="33">
        <v>34.71</v>
      </c>
      <c r="CW18" s="33">
        <v>34.93</v>
      </c>
      <c r="CX18" s="33">
        <v>36.049999999999997</v>
      </c>
      <c r="CY18" s="33">
        <v>35.57</v>
      </c>
      <c r="CZ18" s="33">
        <v>35.32</v>
      </c>
      <c r="DA18" s="33">
        <v>34.36</v>
      </c>
      <c r="DB18" s="33">
        <v>34.020000000000003</v>
      </c>
      <c r="DC18" s="33">
        <v>34.04</v>
      </c>
      <c r="DD18" s="33">
        <v>34</v>
      </c>
      <c r="DE18" s="33">
        <v>33.6</v>
      </c>
      <c r="DF18" s="33">
        <v>33.43</v>
      </c>
      <c r="DG18" s="33">
        <v>33.200000000000003</v>
      </c>
      <c r="DH18" s="33">
        <v>33.29</v>
      </c>
      <c r="DI18" s="33">
        <v>33.119999999999997</v>
      </c>
      <c r="DJ18" s="33">
        <v>33.06</v>
      </c>
      <c r="DK18" s="33">
        <v>32.340000000000003</v>
      </c>
      <c r="DL18" s="33">
        <v>32.32</v>
      </c>
      <c r="DM18" s="33">
        <v>32.51</v>
      </c>
      <c r="DN18" s="33">
        <v>32.43</v>
      </c>
      <c r="DO18" s="33">
        <v>32.229999999999997</v>
      </c>
      <c r="DP18" s="33">
        <v>31.29</v>
      </c>
      <c r="DQ18" s="33">
        <v>30.4</v>
      </c>
      <c r="DR18" s="33">
        <v>29.96</v>
      </c>
      <c r="DS18" s="33">
        <v>30.19</v>
      </c>
      <c r="DT18" s="33">
        <v>30.11</v>
      </c>
      <c r="DU18" s="33">
        <v>31.12</v>
      </c>
      <c r="DV18" s="33">
        <v>30.62</v>
      </c>
      <c r="DW18" s="33">
        <v>30.32</v>
      </c>
      <c r="DX18" s="33">
        <v>29.89</v>
      </c>
      <c r="DY18" s="33">
        <v>30.31</v>
      </c>
      <c r="DZ18" s="33">
        <v>30.74</v>
      </c>
      <c r="EA18" s="33">
        <v>29.7</v>
      </c>
      <c r="EB18" s="33">
        <v>30</v>
      </c>
      <c r="EC18" s="33">
        <v>31.17</v>
      </c>
      <c r="ED18" s="33">
        <v>30.47</v>
      </c>
      <c r="EE18" s="33">
        <v>31.25</v>
      </c>
      <c r="EF18" s="33">
        <v>31.74</v>
      </c>
      <c r="EG18" s="33">
        <v>31.13</v>
      </c>
      <c r="EH18" s="33">
        <v>30.33</v>
      </c>
      <c r="EI18" s="33">
        <v>30.87</v>
      </c>
      <c r="EJ18" s="33">
        <v>30.73</v>
      </c>
      <c r="EK18" s="33">
        <v>31.87</v>
      </c>
      <c r="EL18" s="33">
        <v>31.88</v>
      </c>
      <c r="EM18" s="33">
        <v>31.58</v>
      </c>
      <c r="EN18" s="33">
        <v>31.37</v>
      </c>
      <c r="EO18" s="33">
        <v>30.86</v>
      </c>
      <c r="EP18" s="33">
        <v>30.71</v>
      </c>
      <c r="EQ18" s="33">
        <v>30.68</v>
      </c>
      <c r="ER18" s="33">
        <v>30.56</v>
      </c>
      <c r="ES18" s="33">
        <v>29.72</v>
      </c>
      <c r="ET18" s="33">
        <v>29.83</v>
      </c>
      <c r="EU18" s="33">
        <v>29.32</v>
      </c>
      <c r="EV18" s="33">
        <v>29.26</v>
      </c>
      <c r="EW18" s="33">
        <v>30.1</v>
      </c>
      <c r="EX18" s="33">
        <v>31.11</v>
      </c>
      <c r="EY18" s="33">
        <v>31.26</v>
      </c>
      <c r="EZ18" s="33">
        <v>32.130000000000003</v>
      </c>
      <c r="FA18" s="33">
        <v>31.4</v>
      </c>
      <c r="FB18" s="33">
        <v>31.08</v>
      </c>
      <c r="FC18" s="33">
        <v>32.11</v>
      </c>
      <c r="FD18" s="58">
        <v>32.85</v>
      </c>
      <c r="FE18" s="58">
        <v>33.01</v>
      </c>
      <c r="FF18" s="58">
        <v>32.57</v>
      </c>
      <c r="FG18" s="58">
        <v>32.5</v>
      </c>
      <c r="FH18" s="58">
        <v>32.25</v>
      </c>
      <c r="FI18" s="58">
        <v>32.79</v>
      </c>
      <c r="FJ18" s="58">
        <v>32.46</v>
      </c>
      <c r="FK18" s="58">
        <v>31.94</v>
      </c>
      <c r="FL18" s="58">
        <v>31.93</v>
      </c>
      <c r="FM18" s="58">
        <v>32.369999999999997</v>
      </c>
      <c r="FN18" s="58">
        <v>32.53</v>
      </c>
      <c r="FO18" s="58">
        <v>32.78</v>
      </c>
      <c r="FP18" s="58">
        <v>32.880000000000003</v>
      </c>
      <c r="FQ18" s="58">
        <v>32.76</v>
      </c>
      <c r="FR18" s="58">
        <v>32.369999999999997</v>
      </c>
      <c r="FS18" s="58">
        <v>32.54</v>
      </c>
      <c r="FT18" s="58">
        <v>32.82</v>
      </c>
      <c r="FU18" s="58">
        <v>33.76</v>
      </c>
      <c r="FV18" s="58">
        <v>33.76</v>
      </c>
      <c r="FW18" s="58">
        <v>35.08</v>
      </c>
      <c r="FX18" s="58">
        <v>35.81</v>
      </c>
      <c r="FY18" s="58">
        <v>36.409999999999997</v>
      </c>
      <c r="FZ18" s="58">
        <v>35.590000000000003</v>
      </c>
      <c r="GA18" s="58">
        <v>35.89</v>
      </c>
      <c r="GB18" s="58">
        <v>36.049999999999997</v>
      </c>
      <c r="GC18" s="58">
        <v>35.83</v>
      </c>
      <c r="GD18" s="58">
        <v>35.729999999999997</v>
      </c>
      <c r="GE18" s="58">
        <v>35.229999999999997</v>
      </c>
      <c r="GF18" s="58">
        <v>34.99</v>
      </c>
      <c r="GG18" s="58">
        <v>35.72</v>
      </c>
      <c r="GH18" s="58">
        <v>35.14</v>
      </c>
      <c r="GI18" s="58">
        <v>34.85</v>
      </c>
      <c r="GJ18" s="58">
        <v>34.6</v>
      </c>
      <c r="GK18" s="58">
        <v>34.58</v>
      </c>
      <c r="GL18" s="58">
        <v>35.04</v>
      </c>
      <c r="GM18" s="58">
        <v>35.64</v>
      </c>
      <c r="GN18" s="58">
        <v>35.89</v>
      </c>
      <c r="GO18" s="58">
        <v>35.200000000000003</v>
      </c>
      <c r="GP18" s="58">
        <v>34.85</v>
      </c>
      <c r="GQ18" s="58">
        <v>34.49</v>
      </c>
      <c r="GR18" s="58">
        <v>34.590000000000003</v>
      </c>
      <c r="GS18" s="58">
        <v>34.119999999999997</v>
      </c>
      <c r="GT18" s="58">
        <v>33.99</v>
      </c>
      <c r="GU18" s="58">
        <v>33.340000000000003</v>
      </c>
      <c r="GV18" s="58">
        <v>33.21</v>
      </c>
      <c r="GW18" s="58">
        <v>33.380000000000003</v>
      </c>
      <c r="GX18" s="58">
        <v>33.21</v>
      </c>
      <c r="GY18" s="58">
        <v>32.57</v>
      </c>
      <c r="GZ18" s="58">
        <v>32.68</v>
      </c>
      <c r="HA18" s="58">
        <v>31.41</v>
      </c>
      <c r="HB18" s="58">
        <v>31.45</v>
      </c>
      <c r="HC18" s="58">
        <v>31.24</v>
      </c>
      <c r="HD18" s="58">
        <v>31.5</v>
      </c>
      <c r="HE18" s="58">
        <v>32.03</v>
      </c>
      <c r="HF18" s="58">
        <v>33.119999999999997</v>
      </c>
      <c r="HG18" s="58">
        <v>33.26</v>
      </c>
      <c r="HH18" s="58">
        <v>32.78</v>
      </c>
      <c r="HI18" s="58">
        <v>32.43</v>
      </c>
      <c r="HJ18" s="58">
        <v>33.29</v>
      </c>
      <c r="HK18" s="90">
        <v>32.950000000000003</v>
      </c>
      <c r="HL18" s="90">
        <v>32.51</v>
      </c>
      <c r="HM18" s="90">
        <v>31.31</v>
      </c>
      <c r="HN18" s="90">
        <v>31.42</v>
      </c>
      <c r="HO18" s="90">
        <v>31.81</v>
      </c>
      <c r="HP18" s="90">
        <v>31.93</v>
      </c>
      <c r="HQ18" s="90">
        <v>31.8</v>
      </c>
      <c r="HR18" s="90">
        <v>30.76</v>
      </c>
      <c r="HS18" s="90">
        <v>30.81</v>
      </c>
      <c r="HT18" s="90">
        <v>30.605</v>
      </c>
      <c r="HU18" s="90">
        <v>30.617000000000001</v>
      </c>
      <c r="HV18" s="90">
        <v>30.19</v>
      </c>
      <c r="HW18" s="90">
        <v>30.23</v>
      </c>
      <c r="HX18" s="90">
        <v>29.96</v>
      </c>
      <c r="HY18" s="90">
        <v>31.16</v>
      </c>
      <c r="HZ18" s="90">
        <v>31.65</v>
      </c>
      <c r="IA18" s="90">
        <v>32.659999999999997</v>
      </c>
      <c r="IB18" s="90">
        <v>32.409999999999997</v>
      </c>
      <c r="IC18" s="90">
        <v>31.86</v>
      </c>
      <c r="ID18" s="90">
        <v>30.86</v>
      </c>
      <c r="IE18" s="90">
        <v>31.31</v>
      </c>
      <c r="IF18" s="90">
        <v>31.16</v>
      </c>
      <c r="IG18" s="90">
        <v>31.62</v>
      </c>
      <c r="IH18" s="90">
        <v>31.24</v>
      </c>
      <c r="II18" s="90">
        <v>30.28</v>
      </c>
      <c r="IJ18" s="90">
        <v>29.95</v>
      </c>
      <c r="IK18" s="90">
        <v>29.97</v>
      </c>
      <c r="IL18" s="90">
        <v>30.13</v>
      </c>
      <c r="IM18" s="90">
        <v>31.3</v>
      </c>
      <c r="IN18" s="90">
        <v>31.34</v>
      </c>
      <c r="IO18" s="90">
        <v>31.27</v>
      </c>
      <c r="IP18" s="90">
        <v>32.1</v>
      </c>
      <c r="IQ18" s="90">
        <v>32.85</v>
      </c>
      <c r="IR18" s="90">
        <v>32.49</v>
      </c>
      <c r="IS18" s="90">
        <v>33.94</v>
      </c>
      <c r="IT18" s="90">
        <v>33.24</v>
      </c>
      <c r="IU18" s="90">
        <v>33.64</v>
      </c>
      <c r="IV18" s="90">
        <v>33.32</v>
      </c>
      <c r="IW18" s="90">
        <v>33.42</v>
      </c>
      <c r="IX18" s="90">
        <v>32.71</v>
      </c>
      <c r="IY18" s="90">
        <v>33.28</v>
      </c>
      <c r="IZ18" s="90">
        <v>34.4</v>
      </c>
      <c r="JA18" s="90">
        <v>34.08</v>
      </c>
      <c r="JB18" s="90">
        <v>35.11</v>
      </c>
      <c r="JC18" s="90">
        <v>36.42</v>
      </c>
      <c r="JD18" s="90">
        <v>36.450000000000003</v>
      </c>
      <c r="JE18" s="90">
        <v>38.06</v>
      </c>
      <c r="JF18" s="90">
        <v>37.880000000000003</v>
      </c>
      <c r="JG18" s="90">
        <v>35.4</v>
      </c>
      <c r="JH18" s="90">
        <v>34.520000000000003</v>
      </c>
      <c r="JI18" s="90">
        <v>32.9</v>
      </c>
      <c r="JJ18" s="90">
        <v>35.35</v>
      </c>
      <c r="JK18" s="90">
        <v>34.17</v>
      </c>
      <c r="JL18" s="90">
        <v>34.1</v>
      </c>
      <c r="JM18" s="90">
        <v>34.770000000000003</v>
      </c>
      <c r="JN18" s="90">
        <v>35.520000000000003</v>
      </c>
      <c r="JO18" s="90">
        <v>34.229999999999997</v>
      </c>
      <c r="JP18" s="90">
        <v>34.96</v>
      </c>
      <c r="JQ18" s="90">
        <v>36.46</v>
      </c>
      <c r="JR18" s="90">
        <v>35.94</v>
      </c>
      <c r="JS18" s="90">
        <v>35.130000000000003</v>
      </c>
      <c r="JT18" s="90">
        <v>34.130000000000003</v>
      </c>
      <c r="JU18" s="90">
        <v>35.44</v>
      </c>
      <c r="JV18" s="90">
        <v>35.880000000000003</v>
      </c>
      <c r="JW18" s="90">
        <v>36.380000000000003</v>
      </c>
      <c r="JX18" s="90">
        <v>37.07</v>
      </c>
      <c r="JY18" s="90">
        <v>36.79</v>
      </c>
      <c r="JZ18" s="90">
        <v>36.78</v>
      </c>
      <c r="KA18" s="90">
        <v>35.659999999999997</v>
      </c>
      <c r="KB18" s="90">
        <v>34</v>
      </c>
      <c r="KC18" s="90">
        <v>32.17</v>
      </c>
      <c r="KD18" s="90">
        <v>33.76</v>
      </c>
      <c r="KE18" s="90">
        <v>34.24</v>
      </c>
      <c r="KF18" s="90">
        <v>34.090000000000003</v>
      </c>
      <c r="KG18" s="90">
        <v>33.64</v>
      </c>
      <c r="KH18" s="90">
        <v>34.159999999999997</v>
      </c>
      <c r="KI18" s="90">
        <v>33.92</v>
      </c>
      <c r="KJ18" s="90">
        <v>33.39</v>
      </c>
      <c r="KK18" s="90">
        <v>32.78</v>
      </c>
      <c r="KL18" s="90">
        <v>32.47</v>
      </c>
      <c r="KM18" s="90">
        <v>32.67</v>
      </c>
      <c r="KN18" s="90">
        <v>32.35</v>
      </c>
      <c r="KO18" s="90">
        <v>32.33</v>
      </c>
      <c r="KP18" s="90">
        <v>32.340000000000003</v>
      </c>
      <c r="KQ18" s="90">
        <v>32.200000000000003</v>
      </c>
      <c r="KR18" s="90">
        <v>31.5</v>
      </c>
      <c r="KS18" s="90">
        <v>31.34</v>
      </c>
    </row>
    <row r="19" spans="1:305" ht="23.25" customHeight="1" x14ac:dyDescent="0.2">
      <c r="A19" s="28" t="s">
        <v>9</v>
      </c>
      <c r="B19" s="15" t="s">
        <v>25</v>
      </c>
      <c r="C19" s="74">
        <v>14025</v>
      </c>
      <c r="D19" s="19">
        <v>14511</v>
      </c>
      <c r="E19" s="19">
        <v>14543</v>
      </c>
      <c r="F19" s="19">
        <v>14565</v>
      </c>
      <c r="G19" s="19">
        <v>14542</v>
      </c>
      <c r="H19" s="19">
        <v>14564</v>
      </c>
      <c r="I19" s="19">
        <v>14645</v>
      </c>
      <c r="J19" s="19">
        <v>14826</v>
      </c>
      <c r="K19" s="19">
        <v>14938</v>
      </c>
      <c r="L19" s="19">
        <v>14991</v>
      </c>
      <c r="M19" s="19">
        <v>14996</v>
      </c>
      <c r="N19" s="19">
        <v>15027</v>
      </c>
      <c r="O19" s="19">
        <v>15061</v>
      </c>
      <c r="P19" s="19">
        <v>15079</v>
      </c>
      <c r="Q19" s="19">
        <v>15123</v>
      </c>
      <c r="R19" s="19">
        <v>15135</v>
      </c>
      <c r="S19" s="19">
        <v>15189</v>
      </c>
      <c r="T19" s="19">
        <v>15218</v>
      </c>
      <c r="U19" s="19">
        <v>15247</v>
      </c>
      <c r="V19" s="19">
        <v>15270</v>
      </c>
      <c r="W19" s="19">
        <v>15313</v>
      </c>
      <c r="X19" s="19">
        <v>15326</v>
      </c>
      <c r="Y19" s="19">
        <v>15338</v>
      </c>
      <c r="Z19" s="19">
        <v>15358</v>
      </c>
      <c r="AA19" s="19">
        <v>15383</v>
      </c>
      <c r="AB19" s="19">
        <v>15391</v>
      </c>
      <c r="AC19" s="19">
        <v>15426</v>
      </c>
      <c r="AD19" s="19">
        <v>15426</v>
      </c>
      <c r="AE19" s="19">
        <v>15445</v>
      </c>
      <c r="AF19" s="19">
        <v>15465</v>
      </c>
      <c r="AG19" s="19">
        <v>15465</v>
      </c>
      <c r="AH19" s="19">
        <v>15490</v>
      </c>
      <c r="AI19" s="19">
        <v>15506</v>
      </c>
      <c r="AJ19" s="19">
        <v>15519</v>
      </c>
      <c r="AK19" s="19">
        <v>15541</v>
      </c>
      <c r="AL19" s="19">
        <v>15601</v>
      </c>
      <c r="AM19" s="19">
        <v>15629</v>
      </c>
      <c r="AN19" s="19">
        <v>15658</v>
      </c>
      <c r="AO19" s="19">
        <v>15658</v>
      </c>
      <c r="AP19" s="19">
        <v>15733</v>
      </c>
      <c r="AQ19" s="19">
        <v>15725</v>
      </c>
      <c r="AR19" s="19">
        <v>15713</v>
      </c>
      <c r="AS19" s="19">
        <v>15739</v>
      </c>
      <c r="AT19" s="19">
        <v>15728</v>
      </c>
      <c r="AU19" s="19">
        <v>15727</v>
      </c>
      <c r="AV19" s="19">
        <v>15765</v>
      </c>
      <c r="AW19" s="19">
        <v>15740</v>
      </c>
      <c r="AX19" s="24">
        <v>15741</v>
      </c>
      <c r="AY19" s="24">
        <v>15780</v>
      </c>
      <c r="AZ19" s="24">
        <v>15771</v>
      </c>
      <c r="BA19" s="24">
        <v>15786</v>
      </c>
      <c r="BB19" s="24">
        <v>15799</v>
      </c>
      <c r="BC19" s="24">
        <v>15825</v>
      </c>
      <c r="BD19" s="24">
        <v>15843</v>
      </c>
      <c r="BE19" s="24">
        <v>15845</v>
      </c>
      <c r="BF19" s="24">
        <v>15863</v>
      </c>
      <c r="BG19" s="24">
        <v>15873</v>
      </c>
      <c r="BH19" s="24">
        <v>15880</v>
      </c>
      <c r="BI19" s="24">
        <v>15890</v>
      </c>
      <c r="BJ19" s="24">
        <v>15912</v>
      </c>
      <c r="BK19" s="24">
        <v>15903</v>
      </c>
      <c r="BL19" s="24">
        <v>15902</v>
      </c>
      <c r="BM19" s="24">
        <v>15913</v>
      </c>
      <c r="BN19" s="24">
        <v>15913</v>
      </c>
      <c r="BO19" s="24">
        <v>15935</v>
      </c>
      <c r="BP19" s="24">
        <v>15937</v>
      </c>
      <c r="BQ19" s="24">
        <v>15963</v>
      </c>
      <c r="BR19" s="24">
        <v>15998</v>
      </c>
      <c r="BS19" s="24">
        <v>16000</v>
      </c>
      <c r="BT19" s="24">
        <v>16010</v>
      </c>
      <c r="BU19" s="24">
        <v>16037</v>
      </c>
      <c r="BV19" s="24">
        <v>16065</v>
      </c>
      <c r="BW19" s="24">
        <v>16077</v>
      </c>
      <c r="BX19" s="24">
        <v>16040</v>
      </c>
      <c r="BY19" s="24">
        <v>16039</v>
      </c>
      <c r="BZ19" s="24">
        <v>15987</v>
      </c>
      <c r="CA19" s="24">
        <v>16019</v>
      </c>
      <c r="CB19" s="24">
        <v>16043</v>
      </c>
      <c r="CC19" s="24">
        <v>16080</v>
      </c>
      <c r="CD19" s="24">
        <v>16128</v>
      </c>
      <c r="CE19" s="24">
        <v>16145</v>
      </c>
      <c r="CF19" s="24">
        <v>16240</v>
      </c>
      <c r="CG19" s="24">
        <v>16080</v>
      </c>
      <c r="CH19" s="24">
        <v>16083</v>
      </c>
      <c r="CI19" s="24">
        <v>16046</v>
      </c>
      <c r="CJ19" s="24">
        <v>16020</v>
      </c>
      <c r="CK19" s="24">
        <v>15974</v>
      </c>
      <c r="CL19" s="24">
        <v>15932</v>
      </c>
      <c r="CM19" s="24">
        <v>16110</v>
      </c>
      <c r="CN19" s="24">
        <v>16117</v>
      </c>
      <c r="CO19" s="24">
        <v>16236</v>
      </c>
      <c r="CP19" s="24">
        <v>16844</v>
      </c>
      <c r="CQ19" s="38">
        <v>16740</v>
      </c>
      <c r="CR19" s="38">
        <v>16520</v>
      </c>
      <c r="CS19" s="38">
        <v>16580</v>
      </c>
      <c r="CT19" s="38">
        <v>16830</v>
      </c>
      <c r="CU19" s="38">
        <v>16971</v>
      </c>
      <c r="CV19" s="38">
        <v>17450</v>
      </c>
      <c r="CW19" s="38">
        <v>17472</v>
      </c>
      <c r="CX19" s="38">
        <v>17482</v>
      </c>
      <c r="CY19" s="38">
        <v>17750</v>
      </c>
      <c r="CZ19" s="38">
        <v>17783</v>
      </c>
      <c r="DA19" s="38">
        <v>17780</v>
      </c>
      <c r="DB19" s="38">
        <v>17800</v>
      </c>
      <c r="DC19" s="38">
        <v>17810</v>
      </c>
      <c r="DD19" s="38">
        <v>17819</v>
      </c>
      <c r="DE19" s="38">
        <v>17840</v>
      </c>
      <c r="DF19" s="38">
        <v>17857</v>
      </c>
      <c r="DG19" s="38">
        <v>18486</v>
      </c>
      <c r="DH19" s="38">
        <v>18400</v>
      </c>
      <c r="DI19" s="38">
        <v>18479</v>
      </c>
      <c r="DJ19" s="38">
        <v>18875</v>
      </c>
      <c r="DK19" s="38">
        <v>19100</v>
      </c>
      <c r="DL19" s="38">
        <v>18975</v>
      </c>
      <c r="DM19" s="38">
        <v>19000</v>
      </c>
      <c r="DN19" s="38">
        <v>19080</v>
      </c>
      <c r="DO19" s="38">
        <v>19075</v>
      </c>
      <c r="DP19" s="38">
        <v>19500</v>
      </c>
      <c r="DQ19" s="38">
        <v>19500</v>
      </c>
      <c r="DR19" s="38">
        <v>19500</v>
      </c>
      <c r="DS19" s="38">
        <v>19495</v>
      </c>
      <c r="DT19" s="38">
        <v>19490</v>
      </c>
      <c r="DU19" s="38">
        <v>19495</v>
      </c>
      <c r="DV19" s="38">
        <v>20885</v>
      </c>
      <c r="DW19" s="38">
        <v>20895</v>
      </c>
      <c r="DX19" s="38">
        <v>20500</v>
      </c>
      <c r="DY19" s="38">
        <v>20510</v>
      </c>
      <c r="DZ19" s="38">
        <v>20570</v>
      </c>
      <c r="EA19" s="38">
        <v>20520</v>
      </c>
      <c r="EB19" s="38">
        <v>20830</v>
      </c>
      <c r="EC19" s="38">
        <v>20785</v>
      </c>
      <c r="ED19" s="38">
        <v>20986</v>
      </c>
      <c r="EE19" s="38">
        <v>21009</v>
      </c>
      <c r="EF19" s="38">
        <v>21010</v>
      </c>
      <c r="EG19" s="38">
        <v>20900</v>
      </c>
      <c r="EH19" s="38">
        <v>20820</v>
      </c>
      <c r="EI19" s="38">
        <v>20800</v>
      </c>
      <c r="EJ19" s="38">
        <v>20830</v>
      </c>
      <c r="EK19" s="38">
        <v>20860</v>
      </c>
      <c r="EL19" s="38">
        <v>20900</v>
      </c>
      <c r="EM19" s="38">
        <v>20840</v>
      </c>
      <c r="EN19" s="38">
        <v>20840</v>
      </c>
      <c r="EO19" s="38">
        <v>20860</v>
      </c>
      <c r="EP19" s="38">
        <v>20830</v>
      </c>
      <c r="EQ19" s="38">
        <v>20840</v>
      </c>
      <c r="ER19" s="38">
        <v>20815</v>
      </c>
      <c r="ES19" s="38">
        <v>20805</v>
      </c>
      <c r="ET19" s="38">
        <v>20890</v>
      </c>
      <c r="EU19" s="38">
        <v>20920</v>
      </c>
      <c r="EV19" s="38">
        <v>20905</v>
      </c>
      <c r="EW19" s="38">
        <v>20980</v>
      </c>
      <c r="EX19" s="38">
        <v>21000</v>
      </c>
      <c r="EY19" s="38">
        <v>21150</v>
      </c>
      <c r="EZ19" s="38">
        <v>21120</v>
      </c>
      <c r="FA19" s="38">
        <v>21112</v>
      </c>
      <c r="FB19" s="38">
        <v>21080</v>
      </c>
      <c r="FC19" s="38">
        <v>21090</v>
      </c>
      <c r="FD19" s="61">
        <v>21080</v>
      </c>
      <c r="FE19" s="61">
        <v>21035</v>
      </c>
      <c r="FF19" s="61">
        <v>21080</v>
      </c>
      <c r="FG19" s="61">
        <v>21085</v>
      </c>
      <c r="FH19" s="61">
        <v>21060</v>
      </c>
      <c r="FI19" s="61">
        <v>21140</v>
      </c>
      <c r="FJ19" s="61">
        <v>21300</v>
      </c>
      <c r="FK19" s="61">
        <v>21220</v>
      </c>
      <c r="FL19" s="61">
        <v>21170</v>
      </c>
      <c r="FM19" s="61">
        <v>21220</v>
      </c>
      <c r="FN19" s="61">
        <v>21220</v>
      </c>
      <c r="FO19" s="61">
        <v>21390</v>
      </c>
      <c r="FP19" s="61">
        <v>21380</v>
      </c>
      <c r="FQ19" s="61">
        <v>21320</v>
      </c>
      <c r="FR19" s="61">
        <v>21335</v>
      </c>
      <c r="FS19" s="61">
        <v>21515</v>
      </c>
      <c r="FT19" s="61">
        <v>21550</v>
      </c>
      <c r="FU19" s="61">
        <v>21785</v>
      </c>
      <c r="FV19" s="61">
        <v>21815</v>
      </c>
      <c r="FW19" s="61">
        <v>21811</v>
      </c>
      <c r="FX19" s="61">
        <v>22460</v>
      </c>
      <c r="FY19" s="61">
        <v>22486</v>
      </c>
      <c r="FZ19" s="61">
        <v>22313</v>
      </c>
      <c r="GA19" s="61">
        <v>22475</v>
      </c>
      <c r="GB19" s="61">
        <v>22406</v>
      </c>
      <c r="GC19" s="61">
        <v>22193</v>
      </c>
      <c r="GD19" s="61">
        <v>22293</v>
      </c>
      <c r="GE19" s="61">
        <v>22228</v>
      </c>
      <c r="GF19" s="61">
        <v>22278</v>
      </c>
      <c r="GG19" s="61">
        <v>22415</v>
      </c>
      <c r="GH19" s="61">
        <v>22258</v>
      </c>
      <c r="GI19" s="61">
        <v>22278</v>
      </c>
      <c r="GJ19" s="61">
        <v>22270</v>
      </c>
      <c r="GK19" s="61">
        <v>22291</v>
      </c>
      <c r="GL19" s="61">
        <v>22305</v>
      </c>
      <c r="GM19" s="61">
        <v>22665</v>
      </c>
      <c r="GN19" s="61">
        <v>22744</v>
      </c>
      <c r="GO19" s="61">
        <v>22590</v>
      </c>
      <c r="GP19" s="61">
        <v>22777</v>
      </c>
      <c r="GQ19" s="61">
        <v>22765</v>
      </c>
      <c r="GR19" s="61">
        <v>22730</v>
      </c>
      <c r="GS19" s="61">
        <v>22710</v>
      </c>
      <c r="GT19" s="61">
        <v>22730</v>
      </c>
      <c r="GU19" s="61">
        <v>22711</v>
      </c>
      <c r="GV19" s="61">
        <v>22698</v>
      </c>
      <c r="GW19" s="61">
        <v>22697</v>
      </c>
      <c r="GX19" s="61">
        <v>22702</v>
      </c>
      <c r="GY19" s="61">
        <v>22674</v>
      </c>
      <c r="GZ19" s="61">
        <v>22698</v>
      </c>
      <c r="HA19" s="61">
        <v>22695</v>
      </c>
      <c r="HB19" s="61">
        <v>22727</v>
      </c>
      <c r="HC19" s="61">
        <v>22805</v>
      </c>
      <c r="HD19" s="61">
        <v>22720</v>
      </c>
      <c r="HE19" s="61">
        <v>22815</v>
      </c>
      <c r="HF19" s="61">
        <v>22915</v>
      </c>
      <c r="HG19" s="61">
        <v>23238</v>
      </c>
      <c r="HH19" s="61">
        <v>23284</v>
      </c>
      <c r="HI19" s="61">
        <v>23310</v>
      </c>
      <c r="HJ19" s="61">
        <v>23311</v>
      </c>
      <c r="HK19" s="93">
        <v>23309</v>
      </c>
      <c r="HL19" s="93">
        <v>23150</v>
      </c>
      <c r="HM19" s="93">
        <v>23202</v>
      </c>
      <c r="HN19" s="93">
        <v>23198</v>
      </c>
      <c r="HO19" s="93">
        <v>23200</v>
      </c>
      <c r="HP19" s="93">
        <v>23253</v>
      </c>
      <c r="HQ19" s="93">
        <v>23415</v>
      </c>
      <c r="HR19" s="93">
        <v>23318</v>
      </c>
      <c r="HS19" s="93">
        <v>23200</v>
      </c>
      <c r="HT19" s="93">
        <v>23198</v>
      </c>
      <c r="HU19" s="93">
        <v>23200</v>
      </c>
      <c r="HV19" s="93">
        <v>23201</v>
      </c>
      <c r="HW19" s="93">
        <v>23198</v>
      </c>
      <c r="HX19" s="93">
        <v>23171</v>
      </c>
      <c r="HY19" s="93">
        <v>23179</v>
      </c>
      <c r="HZ19" s="93">
        <v>23238</v>
      </c>
      <c r="IA19" s="93">
        <v>23633</v>
      </c>
      <c r="IB19" s="93">
        <v>23307</v>
      </c>
      <c r="IC19" s="93">
        <v>23288</v>
      </c>
      <c r="ID19" s="93">
        <v>23175</v>
      </c>
      <c r="IE19" s="93">
        <v>23151</v>
      </c>
      <c r="IF19" s="93">
        <v>23174</v>
      </c>
      <c r="IG19" s="93">
        <v>23163</v>
      </c>
      <c r="IH19" s="93">
        <v>23175</v>
      </c>
      <c r="II19" s="93">
        <v>23160</v>
      </c>
      <c r="IJ19" s="93">
        <v>23067</v>
      </c>
      <c r="IK19" s="93">
        <v>23036</v>
      </c>
      <c r="IL19" s="93">
        <v>23019</v>
      </c>
      <c r="IM19" s="93">
        <v>23069</v>
      </c>
      <c r="IN19" s="93">
        <v>23045</v>
      </c>
      <c r="IO19" s="93">
        <v>23022</v>
      </c>
      <c r="IP19" s="93">
        <v>22997</v>
      </c>
      <c r="IQ19" s="93">
        <v>22944</v>
      </c>
      <c r="IR19" s="93">
        <v>22755</v>
      </c>
      <c r="IS19" s="93">
        <v>22735</v>
      </c>
      <c r="IT19" s="93">
        <v>22745</v>
      </c>
      <c r="IU19" s="93">
        <v>22674</v>
      </c>
      <c r="IV19" s="93">
        <v>22778</v>
      </c>
      <c r="IW19" s="93">
        <v>22651</v>
      </c>
      <c r="IX19" s="93">
        <v>22815</v>
      </c>
      <c r="IY19" s="93">
        <v>22853</v>
      </c>
      <c r="IZ19" s="93">
        <v>22955</v>
      </c>
      <c r="JA19" s="93">
        <v>23179</v>
      </c>
      <c r="JB19" s="93">
        <v>23246</v>
      </c>
      <c r="JC19" s="93">
        <v>23358</v>
      </c>
      <c r="JD19" s="93">
        <v>23419</v>
      </c>
      <c r="JE19" s="93">
        <v>23820</v>
      </c>
      <c r="JF19" s="93">
        <v>24815</v>
      </c>
      <c r="JG19" s="93">
        <v>24754</v>
      </c>
      <c r="JH19" s="93">
        <v>23570</v>
      </c>
      <c r="JI19" s="93">
        <v>23447</v>
      </c>
      <c r="JJ19" s="93">
        <v>23780</v>
      </c>
      <c r="JK19" s="93">
        <v>23474</v>
      </c>
      <c r="JL19" s="93">
        <v>23464</v>
      </c>
      <c r="JM19" s="93">
        <v>23491</v>
      </c>
      <c r="JN19" s="93">
        <v>23579</v>
      </c>
      <c r="JO19" s="93">
        <v>23680</v>
      </c>
      <c r="JP19" s="93">
        <v>24099</v>
      </c>
      <c r="JQ19" s="93">
        <v>24274</v>
      </c>
      <c r="JR19" s="93">
        <v>24561</v>
      </c>
      <c r="JS19" s="93">
        <v>24270</v>
      </c>
      <c r="JT19" s="93">
        <v>24269</v>
      </c>
      <c r="JU19" s="93">
        <v>24418</v>
      </c>
      <c r="JV19" s="93">
        <v>24644</v>
      </c>
      <c r="JW19" s="93">
        <v>24788</v>
      </c>
      <c r="JX19" s="93">
        <v>25329</v>
      </c>
      <c r="JY19" s="93">
        <v>25447</v>
      </c>
      <c r="JZ19" s="93">
        <v>25451</v>
      </c>
      <c r="KA19" s="93">
        <v>25239</v>
      </c>
      <c r="KB19" s="93">
        <v>24882</v>
      </c>
      <c r="KC19" s="93">
        <v>24562</v>
      </c>
      <c r="KD19" s="93">
        <v>25284</v>
      </c>
      <c r="KE19" s="93">
        <v>25334</v>
      </c>
      <c r="KF19" s="93">
        <v>25484</v>
      </c>
      <c r="KG19" s="93">
        <v>25069</v>
      </c>
      <c r="KH19" s="93">
        <v>25554</v>
      </c>
      <c r="KI19" s="93">
        <v>25548</v>
      </c>
      <c r="KJ19" s="93">
        <v>25979</v>
      </c>
      <c r="KK19" s="93">
        <v>25996</v>
      </c>
      <c r="KL19" s="93">
        <v>26077</v>
      </c>
      <c r="KM19" s="93">
        <v>26191</v>
      </c>
      <c r="KN19" s="93">
        <v>26344</v>
      </c>
      <c r="KO19" s="93">
        <v>26423</v>
      </c>
      <c r="KP19" s="93">
        <v>26305</v>
      </c>
      <c r="KQ19" s="93">
        <v>26357</v>
      </c>
      <c r="KR19" s="93">
        <v>26291</v>
      </c>
      <c r="KS19" s="93">
        <v>25912</v>
      </c>
    </row>
    <row r="20" spans="1:305" ht="21" customHeight="1" x14ac:dyDescent="0.25">
      <c r="A20" s="22" t="s">
        <v>10</v>
      </c>
      <c r="B20" s="15"/>
      <c r="C20" s="40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47"/>
      <c r="EV20" s="47"/>
      <c r="EW20" s="47"/>
      <c r="EX20" s="47"/>
      <c r="EY20" s="47"/>
      <c r="EZ20" s="47"/>
      <c r="FA20" s="47"/>
      <c r="FB20" s="47"/>
      <c r="FC20" s="47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95"/>
      <c r="HL20" s="95"/>
      <c r="HM20" s="95"/>
      <c r="HN20" s="95"/>
      <c r="HO20" s="95"/>
      <c r="HP20" s="95"/>
      <c r="HQ20" s="95"/>
      <c r="HR20" s="95"/>
      <c r="HS20" s="95"/>
      <c r="HT20" s="95"/>
      <c r="HU20" s="95"/>
      <c r="HV20" s="95"/>
      <c r="HW20" s="95"/>
      <c r="HX20" s="95"/>
      <c r="HY20" s="95"/>
      <c r="HZ20" s="95"/>
      <c r="IA20" s="95"/>
      <c r="IB20" s="95"/>
      <c r="IC20" s="95"/>
      <c r="ID20" s="95"/>
      <c r="IE20" s="95"/>
      <c r="IF20" s="95"/>
      <c r="IG20" s="95"/>
      <c r="IH20" s="95"/>
      <c r="II20" s="95"/>
      <c r="IJ20" s="95"/>
      <c r="IK20" s="95"/>
      <c r="IL20" s="95"/>
      <c r="IM20" s="95"/>
      <c r="IN20" s="95"/>
      <c r="IO20" s="95"/>
      <c r="IP20" s="95"/>
      <c r="IQ20" s="95"/>
      <c r="IR20" s="95"/>
      <c r="IS20" s="95"/>
      <c r="IT20" s="95"/>
      <c r="IU20" s="95"/>
      <c r="IV20" s="95"/>
      <c r="IW20" s="95"/>
      <c r="IX20" s="95"/>
      <c r="IY20" s="95"/>
      <c r="IZ20" s="95"/>
      <c r="JA20" s="95"/>
      <c r="JB20" s="95"/>
      <c r="JC20" s="95"/>
      <c r="JD20" s="95"/>
      <c r="JE20" s="95"/>
      <c r="JF20" s="95"/>
      <c r="JG20" s="95"/>
      <c r="JH20" s="95"/>
      <c r="JI20" s="95"/>
      <c r="JJ20" s="95"/>
      <c r="JK20" s="95"/>
      <c r="JL20" s="95"/>
      <c r="JM20" s="95"/>
      <c r="JN20" s="95"/>
      <c r="JO20" s="95"/>
      <c r="JP20" s="95"/>
      <c r="JQ20" s="95"/>
      <c r="JR20" s="95"/>
      <c r="JS20" s="95"/>
      <c r="JT20" s="95"/>
      <c r="JU20" s="95"/>
      <c r="JV20" s="95"/>
      <c r="JW20" s="95"/>
      <c r="JX20" s="95"/>
      <c r="JY20" s="95"/>
      <c r="JZ20" s="95"/>
      <c r="KA20" s="95"/>
      <c r="KB20" s="95"/>
      <c r="KC20" s="95"/>
      <c r="KD20" s="95"/>
      <c r="KE20" s="95"/>
      <c r="KF20" s="95"/>
      <c r="KG20" s="95"/>
      <c r="KH20" s="95"/>
      <c r="KI20" s="95"/>
      <c r="KJ20" s="95"/>
      <c r="KK20" s="95"/>
      <c r="KL20" s="95"/>
      <c r="KM20" s="95"/>
      <c r="KN20" s="95"/>
      <c r="KO20" s="95"/>
      <c r="KP20" s="95"/>
      <c r="KQ20" s="95"/>
      <c r="KR20" s="95"/>
      <c r="KS20" s="95"/>
    </row>
    <row r="21" spans="1:305" ht="23.25" customHeight="1" x14ac:dyDescent="0.2">
      <c r="A21" s="28" t="s">
        <v>14</v>
      </c>
      <c r="B21" s="15" t="s">
        <v>26</v>
      </c>
      <c r="C21" s="76">
        <v>0.99521999999999999</v>
      </c>
      <c r="D21" s="11">
        <v>1.07596</v>
      </c>
      <c r="E21" s="11">
        <f>1/0.9256</f>
        <v>1.0803802938634399</v>
      </c>
      <c r="F21" s="11">
        <f>1/0.917</f>
        <v>1.0905125408942202</v>
      </c>
      <c r="G21" s="11">
        <f>1/0.8819</f>
        <v>1.1339154099104207</v>
      </c>
      <c r="H21" s="11">
        <f>1/0.8912</f>
        <v>1.1220825852782765</v>
      </c>
      <c r="I21" s="11">
        <v>1.17</v>
      </c>
      <c r="J21" s="11">
        <v>1.16279</v>
      </c>
      <c r="K21" s="11">
        <v>1.1443000000000001</v>
      </c>
      <c r="L21" s="11">
        <v>1.0902700000000001</v>
      </c>
      <c r="M21" s="11">
        <v>1.08507</v>
      </c>
      <c r="N21" s="11">
        <v>1.11982</v>
      </c>
      <c r="O21" s="11">
        <f>1/0.8865</f>
        <v>1.1280315848843767</v>
      </c>
      <c r="P21" s="11">
        <f>1/0.8822</f>
        <v>1.1335298118340513</v>
      </c>
      <c r="Q21" s="11">
        <f>1/0.8612</f>
        <v>1.1611704598235022</v>
      </c>
      <c r="R21" s="11">
        <f>1/0.8656</f>
        <v>1.155268022181146</v>
      </c>
      <c r="S21" s="11">
        <f>1/0.8709</f>
        <v>1.1482374555057986</v>
      </c>
      <c r="T21" s="11">
        <f>1/0.9013</f>
        <v>1.1095084877399313</v>
      </c>
      <c r="U21" s="11">
        <f>1/0.9365</f>
        <v>1.0678056593699947</v>
      </c>
      <c r="V21" s="11">
        <f>1/0.9875</f>
        <v>1.0126582278481011</v>
      </c>
      <c r="W21" s="11">
        <f>1/0.9837</f>
        <v>1.0165700925078784</v>
      </c>
      <c r="X21" s="11">
        <f>1/0.9836</f>
        <v>1.0166734444896299</v>
      </c>
      <c r="Y21" s="11">
        <f>1/0.9815</f>
        <v>1.0188487009679061</v>
      </c>
      <c r="Z21" s="11">
        <f>1/0.9833</f>
        <v>1.0169836265636123</v>
      </c>
      <c r="AA21" s="11">
        <f>1/0.993</f>
        <v>1.0070493454179255</v>
      </c>
      <c r="AB21" s="11">
        <v>1.0427999999999999</v>
      </c>
      <c r="AC21" s="11">
        <v>1.0815999999999999</v>
      </c>
      <c r="AD21" s="11">
        <f>1/1.075</f>
        <v>0.93023255813953487</v>
      </c>
      <c r="AE21" s="11">
        <f>1/1.0796</f>
        <v>0.92626898851426465</v>
      </c>
      <c r="AF21" s="11">
        <f>1/1.112</f>
        <v>0.89928057553956831</v>
      </c>
      <c r="AG21" s="11">
        <f>1/1.1887</f>
        <v>0.84125515268781015</v>
      </c>
      <c r="AH21" s="11">
        <f>1/1.142</f>
        <v>0.87565674255691772</v>
      </c>
      <c r="AI21" s="11">
        <f>1/1.1355</f>
        <v>0.8806693086745927</v>
      </c>
      <c r="AJ21" s="11">
        <f>1/1.0891</f>
        <v>0.91818933063997799</v>
      </c>
      <c r="AK21" s="11">
        <f>1/1.1614</f>
        <v>0.86102979163079041</v>
      </c>
      <c r="AL21" s="11">
        <f>1/1.1675</f>
        <v>0.85653104925053536</v>
      </c>
      <c r="AM21" s="11">
        <f>1/1.191</f>
        <v>0.83963056255247692</v>
      </c>
      <c r="AN21" s="11">
        <f>1/1.257</f>
        <v>0.79554494828957845</v>
      </c>
      <c r="AO21" s="11">
        <f>1/1.2403</f>
        <v>0.80625655083447556</v>
      </c>
      <c r="AP21" s="11">
        <f>1/1.2436</f>
        <v>0.80411707944676747</v>
      </c>
      <c r="AQ21" s="11">
        <f>1/1.2187</f>
        <v>0.82054648395831631</v>
      </c>
      <c r="AR21" s="11">
        <f>1/1.1952</f>
        <v>0.83668005354752339</v>
      </c>
      <c r="AS21" s="11">
        <f>1/1.2214</f>
        <v>0.81873260193220887</v>
      </c>
      <c r="AT21" s="11">
        <f>1/1.2088</f>
        <v>0.82726671078755787</v>
      </c>
      <c r="AU21" s="11">
        <f>1/1.2054</f>
        <v>0.82960013273602118</v>
      </c>
      <c r="AV21" s="11">
        <f>1/1.2059</f>
        <v>0.82925615722696744</v>
      </c>
      <c r="AW21" s="11">
        <f>1/1.2327</f>
        <v>0.81122738703658637</v>
      </c>
      <c r="AX21" s="11">
        <f>1/1.2695</f>
        <v>0.78771169751870806</v>
      </c>
      <c r="AY21" s="11">
        <f>1/1.3259</f>
        <v>0.7542046911531789</v>
      </c>
      <c r="AZ21" s="11">
        <f>1/1.3279</f>
        <v>0.75306875517734762</v>
      </c>
      <c r="BA21" s="11">
        <f>1/1.3019</f>
        <v>0.76810814962746754</v>
      </c>
      <c r="BB21" s="11">
        <f>1/1.321</f>
        <v>0.75700227100681305</v>
      </c>
      <c r="BC21" s="11">
        <f>1/1.2926</f>
        <v>0.7736345350456445</v>
      </c>
      <c r="BD21" s="11">
        <f>1/1.2934</f>
        <v>0.77315602288541818</v>
      </c>
      <c r="BE21" s="11">
        <f>1/1.2512</f>
        <v>0.79923273657288996</v>
      </c>
      <c r="BF21" s="11">
        <f>1/1.2089</f>
        <v>0.82719827942757873</v>
      </c>
      <c r="BG21" s="11">
        <f>1/1.2129</f>
        <v>0.82447027784648352</v>
      </c>
      <c r="BH21" s="11">
        <f>1/1.2225</f>
        <v>0.81799591002044991</v>
      </c>
      <c r="BI21" s="11">
        <f>1/1.2031</f>
        <v>0.831186102568365</v>
      </c>
      <c r="BJ21" s="11">
        <f>1/1.2144</f>
        <v>0.82345191040843224</v>
      </c>
      <c r="BK21" s="11">
        <f>1/1.1763</f>
        <v>0.85012326787384174</v>
      </c>
      <c r="BL21" s="11">
        <f>1/1.1845</f>
        <v>0.84423807513718863</v>
      </c>
      <c r="BM21" s="11">
        <f>1/1.2087</f>
        <v>0.82733515347067088</v>
      </c>
      <c r="BN21" s="11">
        <f>1/1.1851</f>
        <v>0.84381064889038893</v>
      </c>
      <c r="BO21" s="11">
        <f>1/1.2162</f>
        <v>0.82223318533136003</v>
      </c>
      <c r="BP21" s="11">
        <f>1/1.2532</f>
        <v>0.79795722949249914</v>
      </c>
      <c r="BQ21" s="11">
        <f>1/1.2854</f>
        <v>0.77796794772055389</v>
      </c>
      <c r="BR21" s="11">
        <f>1/1.2662</f>
        <v>0.78976465013426</v>
      </c>
      <c r="BS21" s="11">
        <f>1/1.2757</f>
        <v>0.78388335815630628</v>
      </c>
      <c r="BT21" s="11">
        <f>1/1.2833</f>
        <v>0.77924101924725309</v>
      </c>
      <c r="BU21" s="11">
        <f>1/1.2717</f>
        <v>0.78634898167806866</v>
      </c>
      <c r="BV21" s="11">
        <f>1/1.2708</f>
        <v>0.78690588605602774</v>
      </c>
      <c r="BW21" s="11">
        <f>1/1.3148</f>
        <v>0.76057195010648004</v>
      </c>
      <c r="BX21" s="11">
        <f>1/1.3138</f>
        <v>0.76115086010047184</v>
      </c>
      <c r="BY21" s="11">
        <f>1/1.2959</f>
        <v>0.7716644802839725</v>
      </c>
      <c r="BZ21" s="11">
        <v>0.75671585319712453</v>
      </c>
      <c r="CA21" s="11">
        <f>1/1.3327</f>
        <v>0.75035641929916708</v>
      </c>
      <c r="CB21" s="11">
        <f>1/1.3627</f>
        <v>0.73383723490129893</v>
      </c>
      <c r="CC21" s="11">
        <f>1/1.343</f>
        <v>0.74460163812360391</v>
      </c>
      <c r="CD21" s="11">
        <f>1/1.3441</f>
        <v>0.74399226248047012</v>
      </c>
      <c r="CE21" s="11">
        <f>1/1.3715</f>
        <v>0.72912869121399926</v>
      </c>
      <c r="CF21" s="11">
        <f>1/1.3665</f>
        <v>0.73179656055616538</v>
      </c>
      <c r="CG21" s="11">
        <f>1/1.4153</f>
        <v>0.70656397936833182</v>
      </c>
      <c r="CH21" s="11">
        <f>1/1.441</f>
        <v>0.69396252602359465</v>
      </c>
      <c r="CI21" s="11">
        <f>1/1.4769</f>
        <v>0.67709391292572274</v>
      </c>
      <c r="CJ21" s="11">
        <f>1/1.4736</f>
        <v>0.67861020629750268</v>
      </c>
      <c r="CK21" s="11">
        <f>1/1.4848</f>
        <v>0.67349137931034486</v>
      </c>
      <c r="CL21" s="11">
        <f>1/1.5188</f>
        <v>0.65841453779299453</v>
      </c>
      <c r="CM21" s="11">
        <f>1/1.5764</f>
        <v>0.63435676224308546</v>
      </c>
      <c r="CN21" s="11">
        <f>1/1.557</f>
        <v>0.64226075786769432</v>
      </c>
      <c r="CO21" s="11">
        <v>0.64400000000000002</v>
      </c>
      <c r="CP21" s="11">
        <f>1/1.5792</f>
        <v>0.63323201621073966</v>
      </c>
      <c r="CQ21" s="11">
        <f>1/1.5579</f>
        <v>0.64188972334552918</v>
      </c>
      <c r="CR21" s="11">
        <f>1/1.4706</f>
        <v>0.67999456004351966</v>
      </c>
      <c r="CS21" s="11">
        <f>1/1.4671</f>
        <v>0.68161679503782968</v>
      </c>
      <c r="CT21" s="11">
        <f>1/1.3054</f>
        <v>0.7660487206986365</v>
      </c>
      <c r="CU21" s="11">
        <f>1/1.2881</f>
        <v>0.77633724089744582</v>
      </c>
      <c r="CV21" s="11">
        <f>1/1.4134</f>
        <v>0.70751379651903212</v>
      </c>
      <c r="CW21" s="11">
        <f>1/1.2906</f>
        <v>0.77483341081667445</v>
      </c>
      <c r="CX21" s="11">
        <f>1/1.2694</f>
        <v>0.78777375137860406</v>
      </c>
      <c r="CY21" s="11">
        <f>1/1.3183</f>
        <v>0.75855268148372901</v>
      </c>
      <c r="CZ21" s="11">
        <f>1/1.3266</f>
        <v>0.7538067239559777</v>
      </c>
      <c r="DA21" s="11">
        <f>1/1.3957</f>
        <v>0.71648635093501467</v>
      </c>
      <c r="DB21" s="11">
        <f>1/1.4114</f>
        <v>0.70851636672807139</v>
      </c>
      <c r="DC21" s="11">
        <f>1/1.4089</f>
        <v>0.70977358222726949</v>
      </c>
      <c r="DD21" s="11">
        <f>1/1.4298</f>
        <v>0.69939851727514335</v>
      </c>
      <c r="DE21" s="11">
        <f>1/1.46</f>
        <v>0.68493150684931503</v>
      </c>
      <c r="DF21" s="11">
        <f>1/1.4835</f>
        <v>0.67408156386922813</v>
      </c>
      <c r="DG21" s="11">
        <f>1/1.4997</f>
        <v>0.666800026672001</v>
      </c>
      <c r="DH21" s="11">
        <f>1/1.4353</f>
        <v>0.6967184560719013</v>
      </c>
      <c r="DI21" s="11">
        <f>1/1.3954</f>
        <v>0.71664038985237211</v>
      </c>
      <c r="DJ21" s="11">
        <f>1/1.3534</f>
        <v>0.73887985813506729</v>
      </c>
      <c r="DK21" s="11">
        <f>1/1.3423</f>
        <v>0.74498994263577434</v>
      </c>
      <c r="DL21" s="11">
        <f>1/1.3192</f>
        <v>0.75803517283201949</v>
      </c>
      <c r="DM21" s="11">
        <f>1/1.2283</f>
        <v>0.81413335504355622</v>
      </c>
      <c r="DN21" s="11">
        <f>1/1.218</f>
        <v>0.82101806239737274</v>
      </c>
      <c r="DO21" s="11">
        <f>1/1.3059</f>
        <v>0.76575541771958033</v>
      </c>
      <c r="DP21" s="11">
        <f>1/1.2634</f>
        <v>0.79151495963273699</v>
      </c>
      <c r="DQ21" s="11">
        <f>1/1.3628</f>
        <v>0.73378338714411506</v>
      </c>
      <c r="DR21" s="11">
        <f>1/1.3786</f>
        <v>0.72537356738720438</v>
      </c>
      <c r="DS21" s="11">
        <f>1/1.3107</f>
        <v>0.76295109483482115</v>
      </c>
      <c r="DT21" s="11">
        <f>1/1.3299</f>
        <v>0.75193623580720348</v>
      </c>
      <c r="DU21" s="11">
        <f>1/1.359</f>
        <v>0.73583517292126566</v>
      </c>
      <c r="DV21" s="11">
        <f>1/1.372</f>
        <v>0.7288629737609329</v>
      </c>
      <c r="DW21" s="11">
        <f>1/1.4117</f>
        <v>0.70836580009917127</v>
      </c>
      <c r="DX21" s="11">
        <f>1/1.4845</f>
        <v>0.67362748400134731</v>
      </c>
      <c r="DY21" s="11">
        <f>1/1.433</f>
        <v>0.69783670621074667</v>
      </c>
      <c r="DZ21" s="11">
        <f>1/1.4471</f>
        <v>0.69103724690760826</v>
      </c>
      <c r="EA21" s="11">
        <f>1/1.4331</f>
        <v>0.69778801200195384</v>
      </c>
      <c r="EB21" s="11">
        <f>1/1.4437</f>
        <v>0.69266468102791434</v>
      </c>
      <c r="EC21" s="11">
        <f>1/1.3594</f>
        <v>0.7356186552890982</v>
      </c>
      <c r="ED21" s="11">
        <f>1/1.417</f>
        <v>0.7057163020465772</v>
      </c>
      <c r="EE21" s="11">
        <f>1/1.33324</f>
        <v>0.75005250367525733</v>
      </c>
      <c r="EF21" s="11">
        <f>1/1.2949</f>
        <v>0.77226040620897374</v>
      </c>
      <c r="EG21" s="11">
        <f>1/1.3135</f>
        <v>0.76132470498667693</v>
      </c>
      <c r="EH21" s="11">
        <f>1/1.3474</f>
        <v>0.74217010538815498</v>
      </c>
      <c r="EI21" s="11">
        <f>1/1.3317</f>
        <v>0.75091987684914019</v>
      </c>
      <c r="EJ21" s="11">
        <f>1/1.3232</f>
        <v>0.75574365175332536</v>
      </c>
      <c r="EK21" s="11">
        <f>1/1.2363</f>
        <v>0.80886516217746507</v>
      </c>
      <c r="EL21" s="11">
        <f>1/1.2439</f>
        <v>0.80392314494734307</v>
      </c>
      <c r="EM21" s="11">
        <f>1/1.226</f>
        <v>0.81566068515497558</v>
      </c>
      <c r="EN21" s="11">
        <f>1/1.2512</f>
        <v>0.79923273657288996</v>
      </c>
      <c r="EO21" s="11">
        <f>1/1.2912</f>
        <v>0.77447335811648088</v>
      </c>
      <c r="EP21" s="11">
        <f>1/1.2908</f>
        <v>0.77471335605825853</v>
      </c>
      <c r="EQ21" s="11">
        <f>1/1.2972</f>
        <v>0.77089115016959608</v>
      </c>
      <c r="ER21" s="11">
        <f>1/1.323</f>
        <v>0.75585789871504161</v>
      </c>
      <c r="ES21" s="11">
        <f>1/1.3568</f>
        <v>0.73702830188679247</v>
      </c>
      <c r="ET21" s="11">
        <f>1/1.3154</f>
        <v>0.76022502660787594</v>
      </c>
      <c r="EU21" s="48">
        <f>1/1.2814</f>
        <v>0.78039644139222719</v>
      </c>
      <c r="EV21" s="48">
        <f>1/1.3093</f>
        <v>0.7637668983426259</v>
      </c>
      <c r="EW21" s="48">
        <f>1/1.3039</f>
        <v>0.76692997929289053</v>
      </c>
      <c r="EX21" s="48">
        <f>1/1.304</f>
        <v>0.76687116564417179</v>
      </c>
      <c r="EY21" s="48">
        <f>1/1.3265</f>
        <v>0.7538635506973238</v>
      </c>
      <c r="EZ21" s="48">
        <f>1/1.3235</f>
        <v>0.75557234605213452</v>
      </c>
      <c r="FA21" s="48">
        <f>1/1.3494</f>
        <v>0.74107010523195493</v>
      </c>
      <c r="FB21" s="48">
        <f>1/1.3727</f>
        <v>0.72849129452903039</v>
      </c>
      <c r="FC21" s="48">
        <f>1/1.3602</f>
        <v>0.7351860020585208</v>
      </c>
      <c r="FD21" s="63">
        <f>1/1.3805</f>
        <v>0.72437522636725826</v>
      </c>
      <c r="FE21" s="63">
        <f>1/1.3554</f>
        <v>0.73778958241109638</v>
      </c>
      <c r="FF21" s="63">
        <f>1/1.3705</f>
        <v>0.72966070777088654</v>
      </c>
      <c r="FG21" s="63">
        <f>1/1.3752</f>
        <v>0.72716695753344973</v>
      </c>
      <c r="FH21" s="63">
        <f>1/1.3814</f>
        <v>0.72390328652092084</v>
      </c>
      <c r="FI21" s="63">
        <f>1/1.36</f>
        <v>0.73529411764705876</v>
      </c>
      <c r="FJ21" s="63">
        <f>1/1.3644</f>
        <v>0.73292289651128695</v>
      </c>
      <c r="FK21" s="63">
        <f>1/1.3396</f>
        <v>0.74649148999701409</v>
      </c>
      <c r="FL21" s="63">
        <f>1/1.3185</f>
        <v>0.75843761850587788</v>
      </c>
      <c r="FM21" s="63">
        <f>1/1.2688</f>
        <v>0.78814627994955866</v>
      </c>
      <c r="FN21" s="63">
        <f>1/1.2605</f>
        <v>0.79333597778659271</v>
      </c>
      <c r="FO21" s="63">
        <f>1/1.2455</f>
        <v>0.80289040545965473</v>
      </c>
      <c r="FP21" s="63">
        <f>1/1.216</f>
        <v>0.82236842105263164</v>
      </c>
      <c r="FQ21" s="63">
        <f>1/1.1326</f>
        <v>0.88292424509977041</v>
      </c>
      <c r="FR21" s="63">
        <f>1/1.121</f>
        <v>0.89206066012488849</v>
      </c>
      <c r="FS21" s="63">
        <f>1/1.0838</f>
        <v>0.92267946115519461</v>
      </c>
      <c r="FT21" s="63">
        <f>1/1.1114</f>
        <v>0.89976606082418575</v>
      </c>
      <c r="FU21" s="63">
        <f>1/1.0957</f>
        <v>0.9126585744273068</v>
      </c>
      <c r="FV21" s="63">
        <f>1/1.1213</f>
        <v>0.89182199233033088</v>
      </c>
      <c r="FW21" s="63">
        <f>1/1.0942</f>
        <v>0.91390970572107466</v>
      </c>
      <c r="FX21" s="63">
        <f>1/1.1213</f>
        <v>0.89182199233033088</v>
      </c>
      <c r="FY21" s="63">
        <f>1/1.1252</f>
        <v>0.88873089228581592</v>
      </c>
      <c r="FZ21" s="63">
        <f>1/1.0985</f>
        <v>0.91033227127901684</v>
      </c>
      <c r="GA21" s="63">
        <f>1/1.0585</f>
        <v>0.94473311289560702</v>
      </c>
      <c r="GB21" s="63">
        <f>1/1.0935</f>
        <v>0.91449474165523559</v>
      </c>
      <c r="GC21" s="63">
        <f>1/1.0932</f>
        <v>0.91474570069520678</v>
      </c>
      <c r="GD21" s="63">
        <f>1/1.0931</f>
        <v>0.91482938431982441</v>
      </c>
      <c r="GE21" s="63">
        <f>1/1.1333</f>
        <v>0.8823788934968676</v>
      </c>
      <c r="GF21" s="63">
        <f>1/1.1357</f>
        <v>0.88051422030465798</v>
      </c>
      <c r="GG21" s="63">
        <f>1/1.1148</f>
        <v>0.89702188733405097</v>
      </c>
      <c r="GH21" s="63">
        <f>1/1.1113</f>
        <v>0.89984702600557909</v>
      </c>
      <c r="GI21" s="63">
        <f>1/1.1083</f>
        <v>0.90228277542181712</v>
      </c>
      <c r="GJ21" s="63">
        <f>1/1.1146</f>
        <v>0.897182845863987</v>
      </c>
      <c r="GK21" s="63">
        <f>1/1.1221</f>
        <v>0.89118616879066026</v>
      </c>
      <c r="GL21" s="63">
        <f>1/1.0973</f>
        <v>0.91132780461131879</v>
      </c>
      <c r="GM21" s="63">
        <f>1/1.0651</f>
        <v>0.9388789784996715</v>
      </c>
      <c r="GN21" s="63">
        <f>1/1.0565</f>
        <v>0.94652153336488409</v>
      </c>
      <c r="GO21" s="63">
        <f>1/1.0704</f>
        <v>0.93423019431988041</v>
      </c>
      <c r="GP21" s="63">
        <f>1/1.0583</f>
        <v>0.94491165076065387</v>
      </c>
      <c r="GQ21" s="63">
        <f>1/1.0681</f>
        <v>0.93624192491339753</v>
      </c>
      <c r="GR21" s="63">
        <f>1/1.0867</f>
        <v>0.92021717125241553</v>
      </c>
      <c r="GS21" s="63">
        <f>1/1.1173</f>
        <v>0.89501476774366784</v>
      </c>
      <c r="GT21" s="63">
        <f>1/1.1435</f>
        <v>0.87450808919982514</v>
      </c>
      <c r="GU21" s="63">
        <f>1/1.1742</f>
        <v>0.85164367228751492</v>
      </c>
      <c r="GV21" s="63">
        <f>1/1.1887</f>
        <v>0.84125515268781015</v>
      </c>
      <c r="GW21" s="63">
        <f>1/1.1781</f>
        <v>0.84882437823614298</v>
      </c>
      <c r="GX21" s="63">
        <f>1/1.1648</f>
        <v>0.85851648351648346</v>
      </c>
      <c r="GY21" s="63">
        <f>1/1.1854</f>
        <v>0.84359709802598282</v>
      </c>
      <c r="GZ21" s="63">
        <f>1/1.1942</f>
        <v>0.83738067325406129</v>
      </c>
      <c r="HA21" s="63">
        <f>1/1.2382</f>
        <v>0.80762397027943789</v>
      </c>
      <c r="HB21" s="63">
        <f>1/1.2228</f>
        <v>0.81779522407589134</v>
      </c>
      <c r="HC21" s="63">
        <f>1/1.2297</f>
        <v>0.81320647312352601</v>
      </c>
      <c r="HD21" s="63">
        <f>1/1.2121</f>
        <v>0.8250144377526607</v>
      </c>
      <c r="HE21" s="63">
        <f>1/1.1659</f>
        <v>0.85770649283815081</v>
      </c>
      <c r="HF21" s="63">
        <f>1/1.1571</f>
        <v>0.8642295393656555</v>
      </c>
      <c r="HG21" s="63">
        <f>1/1.171</f>
        <v>0.85397096498719038</v>
      </c>
      <c r="HH21" s="63">
        <f>1/1.1662</f>
        <v>0.85748585148345058</v>
      </c>
      <c r="HI21" s="63">
        <f>1/1.1638</f>
        <v>0.85925416738271188</v>
      </c>
      <c r="HJ21" s="63">
        <f>1/1.1345</f>
        <v>0.88144557073600704</v>
      </c>
      <c r="HK21" s="96">
        <v>0.87780898876404501</v>
      </c>
      <c r="HL21" s="96">
        <v>0.87397308162908571</v>
      </c>
      <c r="HM21" s="96">
        <v>0.8700191404210893</v>
      </c>
      <c r="HN21" s="96">
        <v>0.87881184638368937</v>
      </c>
      <c r="HO21" s="96">
        <v>0.8903133903133903</v>
      </c>
      <c r="HP21" s="96">
        <v>0.89413447782546485</v>
      </c>
      <c r="HQ21" s="96">
        <v>0.89814981138853967</v>
      </c>
      <c r="HR21" s="96">
        <v>0.8792754770069463</v>
      </c>
      <c r="HS21" s="96">
        <v>0.89637863033345289</v>
      </c>
      <c r="HT21" s="96">
        <v>0.90448625180897257</v>
      </c>
      <c r="HU21" s="96">
        <v>0.91416034372428912</v>
      </c>
      <c r="HV21" s="96">
        <v>0.89637863033345289</v>
      </c>
      <c r="HW21" s="96">
        <v>0.90818272636454456</v>
      </c>
      <c r="HX21" s="96">
        <v>0.8926977325477593</v>
      </c>
      <c r="HY21" s="96">
        <v>0.90678273485672833</v>
      </c>
      <c r="HZ21" s="96">
        <v>0.90933891061198513</v>
      </c>
      <c r="IA21" s="96">
        <v>0.90645395213923141</v>
      </c>
      <c r="IB21" s="96">
        <v>0.92021717125241553</v>
      </c>
      <c r="IC21" s="96">
        <v>0.9030160736861117</v>
      </c>
      <c r="ID21" s="96">
        <v>0.88936321593738876</v>
      </c>
      <c r="IE21" s="96">
        <v>0.84217618325753751</v>
      </c>
      <c r="IF21" s="96">
        <v>0.83970106642035436</v>
      </c>
      <c r="IG21" s="96">
        <v>0.85142613878246054</v>
      </c>
      <c r="IH21" s="96">
        <v>0.84932903006624771</v>
      </c>
      <c r="II21" s="96">
        <v>0.83563131946185332</v>
      </c>
      <c r="IJ21" s="96">
        <v>0.81267777326290136</v>
      </c>
      <c r="IK21" s="96">
        <v>0.82528678715853754</v>
      </c>
      <c r="IL21" s="96">
        <v>0.82304526748971185</v>
      </c>
      <c r="IM21" s="96">
        <v>0.85309674117044876</v>
      </c>
      <c r="IN21" s="96">
        <v>0.82406262875978575</v>
      </c>
      <c r="IO21" s="96">
        <v>0.82061381913671427</v>
      </c>
      <c r="IP21" s="96">
        <v>0.84019492522265171</v>
      </c>
      <c r="IQ21" s="96">
        <v>0.84097216382137752</v>
      </c>
      <c r="IR21" s="96">
        <v>0.84767313723828097</v>
      </c>
      <c r="IS21" s="96">
        <v>0.86192035855886928</v>
      </c>
      <c r="IT21" s="96">
        <v>0.86221762372822908</v>
      </c>
      <c r="IU21" s="96">
        <v>0.8859750155045627</v>
      </c>
      <c r="IV21" s="96">
        <v>0.88300220750551872</v>
      </c>
      <c r="IW21" s="96">
        <v>0.89686098654708524</v>
      </c>
      <c r="IX21" s="96">
        <v>0.89437438511761014</v>
      </c>
      <c r="IY21" s="96">
        <v>0.89581653677326878</v>
      </c>
      <c r="IZ21" s="96">
        <v>0.95120327213925626</v>
      </c>
      <c r="JA21" s="96">
        <v>0.9283327144448571</v>
      </c>
      <c r="JB21" s="96">
        <v>0.95757923968208369</v>
      </c>
      <c r="JC21" s="96">
        <v>0.98125797272102844</v>
      </c>
      <c r="JD21" s="96">
        <v>0.99750623441396513</v>
      </c>
      <c r="JE21" s="96">
        <v>1.0171905197843556</v>
      </c>
      <c r="JF21" s="96">
        <v>1.0041168792047395</v>
      </c>
      <c r="JG21" s="96">
        <v>0.9688983625617672</v>
      </c>
      <c r="JH21" s="96">
        <v>0.93782237644190192</v>
      </c>
      <c r="JI21" s="96">
        <v>0.92524056254626208</v>
      </c>
      <c r="JJ21" s="96">
        <v>0.94312930302744502</v>
      </c>
      <c r="JK21" s="96">
        <v>0.91903317709769317</v>
      </c>
      <c r="JL21" s="96">
        <v>0.91024940833788459</v>
      </c>
      <c r="JM21" s="96">
        <v>0.93799831160303904</v>
      </c>
      <c r="JN21" s="96">
        <v>0.92259433527078138</v>
      </c>
      <c r="JO21" s="96">
        <v>0.90661831368993651</v>
      </c>
      <c r="JP21" s="96">
        <v>0.91894872266127547</v>
      </c>
      <c r="JQ21" s="96">
        <v>0.9424182452172275</v>
      </c>
      <c r="JR21" s="96">
        <v>0.94055680963130184</v>
      </c>
      <c r="JS21" s="96">
        <v>0.91449474165523559</v>
      </c>
      <c r="JT21" s="96">
        <v>0.90407738902450041</v>
      </c>
      <c r="JU21" s="96">
        <v>0.92421441774491675</v>
      </c>
      <c r="JV21" s="96">
        <v>0.9220839096357768</v>
      </c>
      <c r="JW21" s="96">
        <v>0.92824654228163006</v>
      </c>
      <c r="JX21" s="96">
        <v>0.9346667912889054</v>
      </c>
      <c r="JY21" s="96">
        <v>0.9227646027498384</v>
      </c>
      <c r="JZ21" s="96">
        <v>0.93510379652141395</v>
      </c>
      <c r="KA21" s="96">
        <v>0.92481272542310189</v>
      </c>
      <c r="KB21" s="96">
        <v>0.90228277542181712</v>
      </c>
      <c r="KC21" s="96">
        <v>0.89301661010894806</v>
      </c>
      <c r="KD21" s="96">
        <v>0.92097992263768647</v>
      </c>
      <c r="KE21" s="96">
        <v>0.94625283875851629</v>
      </c>
      <c r="KF21" s="96">
        <v>0.96070708041118269</v>
      </c>
      <c r="KG21" s="96">
        <v>0.96181590843512543</v>
      </c>
      <c r="KH21" s="96">
        <v>0.96144601480626857</v>
      </c>
      <c r="KI21" s="96">
        <v>0.92447074050106304</v>
      </c>
      <c r="KJ21" s="96">
        <v>0.87989441267047952</v>
      </c>
      <c r="KK21" s="96">
        <v>0.88222320247022501</v>
      </c>
      <c r="KL21" s="96">
        <v>0.85316952478457475</v>
      </c>
      <c r="KM21" s="96">
        <v>0.87389670540942055</v>
      </c>
      <c r="KN21" s="96">
        <v>0.85638434529416807</v>
      </c>
      <c r="KO21" s="96">
        <v>0.85113626691633326</v>
      </c>
      <c r="KP21" s="96">
        <v>0.86497707810743019</v>
      </c>
      <c r="KQ21" s="96">
        <v>0.86415485655029378</v>
      </c>
      <c r="KR21" s="96">
        <v>0.85273300929478979</v>
      </c>
      <c r="KS21" s="96">
        <v>0.83766124979058476</v>
      </c>
    </row>
    <row r="22" spans="1:305" ht="23.25" customHeight="1" x14ac:dyDescent="0.2">
      <c r="A22" s="21" t="s">
        <v>11</v>
      </c>
      <c r="B22" s="15" t="s">
        <v>27</v>
      </c>
      <c r="C22" s="76">
        <v>0.61804999999999999</v>
      </c>
      <c r="D22" s="12">
        <v>0.66857999999999995</v>
      </c>
      <c r="E22" s="77">
        <f>1/1.462</f>
        <v>0.6839945280437757</v>
      </c>
      <c r="F22" s="77">
        <f>1/1.4415</f>
        <v>0.69372181755116202</v>
      </c>
      <c r="G22" s="77">
        <f>1/1.4289</f>
        <v>0.69983903702148498</v>
      </c>
      <c r="H22" s="77">
        <f>1/1.4338</f>
        <v>0.69744734272562425</v>
      </c>
      <c r="I22" s="10">
        <v>0.7</v>
      </c>
      <c r="J22" s="77">
        <v>0.70760999999999996</v>
      </c>
      <c r="K22" s="77">
        <v>0.70116000000000001</v>
      </c>
      <c r="L22" s="77">
        <v>0.68615000000000004</v>
      </c>
      <c r="M22" s="77">
        <v>0.67828999999999995</v>
      </c>
      <c r="N22" s="77">
        <v>0.69584999999999997</v>
      </c>
      <c r="O22" s="77">
        <f>1/1.4257</f>
        <v>0.70140983376586941</v>
      </c>
      <c r="P22" s="12">
        <f>1/1.4497</f>
        <v>0.68979788921845897</v>
      </c>
      <c r="Q22" s="77">
        <f>1/1.4137</f>
        <v>0.7073636556553724</v>
      </c>
      <c r="R22" s="77">
        <f>1/1.4187</f>
        <v>0.70487065623458089</v>
      </c>
      <c r="S22" s="12">
        <f>1/1.4235</f>
        <v>0.70249385317878466</v>
      </c>
      <c r="T22" s="12">
        <f>1/1.4575</f>
        <v>0.68610634648370494</v>
      </c>
      <c r="U22" s="12">
        <f>1/1.4647</f>
        <v>0.68273366559705062</v>
      </c>
      <c r="V22" s="12">
        <f>1/1.528</f>
        <v>0.65445026178010468</v>
      </c>
      <c r="W22" s="12">
        <f>1/1.5699</f>
        <v>0.63698324734059486</v>
      </c>
      <c r="X22" s="12">
        <f>1/1.5457</f>
        <v>0.64695607168273273</v>
      </c>
      <c r="Y22" s="12">
        <f>1/1.5616</f>
        <v>0.64036885245901631</v>
      </c>
      <c r="Z22" s="12">
        <f>1/1.558</f>
        <v>0.64184852374839541</v>
      </c>
      <c r="AA22" s="12">
        <f>1/1.5495</f>
        <v>0.64536947402387868</v>
      </c>
      <c r="AB22" s="12">
        <f>1/1.6043</f>
        <v>0.62332481456086763</v>
      </c>
      <c r="AC22" s="12">
        <v>0.60460000000000003</v>
      </c>
      <c r="AD22" s="12">
        <f>1/1.5778</f>
        <v>0.63379389022689814</v>
      </c>
      <c r="AE22" s="12">
        <f>1/1.5743</f>
        <v>0.63520294734167571</v>
      </c>
      <c r="AF22" s="12">
        <f>1/1.596</f>
        <v>0.62656641604010022</v>
      </c>
      <c r="AG22" s="12">
        <f>1/1.6527</f>
        <v>0.6050704907121679</v>
      </c>
      <c r="AH22" s="12">
        <f>1/1.6528</f>
        <v>0.60503388189738627</v>
      </c>
      <c r="AI22" s="12">
        <f>1/1.616</f>
        <v>0.61881188118811881</v>
      </c>
      <c r="AJ22" s="12">
        <f>1/1.5782</f>
        <v>0.63363325307312124</v>
      </c>
      <c r="AK22" s="12">
        <f>1/1.666</f>
        <v>0.60024009603841544</v>
      </c>
      <c r="AL22" s="12">
        <f>1/1.6959</f>
        <v>0.58965740904534469</v>
      </c>
      <c r="AM22" s="12">
        <f>1/1.714</f>
        <v>0.58343057176196034</v>
      </c>
      <c r="AN22" s="12">
        <f>1/1.714</f>
        <v>0.58343057176196034</v>
      </c>
      <c r="AO22" s="12">
        <f>1/1.714</f>
        <v>0.58343057176196034</v>
      </c>
      <c r="AP22" s="12">
        <f>1/1.8612</f>
        <v>0.53728777133032457</v>
      </c>
      <c r="AQ22" s="12">
        <f>1/1.8275</f>
        <v>0.54719562243502051</v>
      </c>
      <c r="AR22" s="12">
        <f>1/1.7718</f>
        <v>0.56439778756067271</v>
      </c>
      <c r="AS22" s="12">
        <f>1/1.8347</f>
        <v>0.54504823676895409</v>
      </c>
      <c r="AT22" s="12">
        <f>1/1.8086</f>
        <v>0.55291385602123189</v>
      </c>
      <c r="AU22" s="9">
        <f>1/1.8239</f>
        <v>0.54827567300838864</v>
      </c>
      <c r="AV22" s="9">
        <f>1/1.796</f>
        <v>0.55679287305122493</v>
      </c>
      <c r="AW22" s="9">
        <f>1/1.8</f>
        <v>0.55555555555555558</v>
      </c>
      <c r="AX22" s="25">
        <f>1/1.8254</f>
        <v>0.54782513421715795</v>
      </c>
      <c r="AY22" s="25">
        <f>1/1.8919</f>
        <v>0.52856916327501458</v>
      </c>
      <c r="AZ22" s="25">
        <f>1/1.8832</f>
        <v>0.53101104502973662</v>
      </c>
      <c r="BA22" s="25">
        <f>1/1.8857</f>
        <v>0.53030704778066506</v>
      </c>
      <c r="BB22" s="25">
        <f>1/1.9185</f>
        <v>0.52124055251498569</v>
      </c>
      <c r="BC22" s="25">
        <f>1/1.8804</f>
        <v>0.53180174430972127</v>
      </c>
      <c r="BD22" s="25">
        <f>1/1.9004</f>
        <v>0.52620500947169013</v>
      </c>
      <c r="BE22" s="25">
        <f>1/1.822</f>
        <v>0.54884742041712398</v>
      </c>
      <c r="BF22" s="25">
        <f>1/1.8062</f>
        <v>0.55364854390432949</v>
      </c>
      <c r="BG22" s="25">
        <f>1/1.7552</f>
        <v>0.56973564266180488</v>
      </c>
      <c r="BH22" s="25">
        <f>1/1.7852</f>
        <v>0.5601613264620211</v>
      </c>
      <c r="BI22" s="25">
        <f>1/1.7601</f>
        <v>0.56814953695812742</v>
      </c>
      <c r="BJ22" s="25">
        <f>1/1.7825</f>
        <v>0.56100981767180924</v>
      </c>
      <c r="BK22" s="25">
        <f>1/1.7165</f>
        <v>0.58258083309059139</v>
      </c>
      <c r="BL22" s="25">
        <f>1/1.724</f>
        <v>0.58004640371229699</v>
      </c>
      <c r="BM22" s="25">
        <f>1/1.7679</f>
        <v>0.56564285310255102</v>
      </c>
      <c r="BN22" s="25">
        <f>1/1.7396</f>
        <v>0.57484479190618532</v>
      </c>
      <c r="BO22" s="25">
        <f>1/1.7461</f>
        <v>0.57270488517267049</v>
      </c>
      <c r="BP22" s="25">
        <f>1/1.8012</f>
        <v>0.55518543193426606</v>
      </c>
      <c r="BQ22" s="25">
        <f>1/1.8809</f>
        <v>0.53166037535222499</v>
      </c>
      <c r="BR22" s="25">
        <f>1/1.8273</f>
        <v>0.54725551359929958</v>
      </c>
      <c r="BS22" s="25">
        <f>1/1.8627</f>
        <v>0.53685510280775217</v>
      </c>
      <c r="BT22" s="25">
        <f>1/1.9049</f>
        <v>0.52496194025933118</v>
      </c>
      <c r="BU22" s="25">
        <f>1/1.8905</f>
        <v>0.52896059243586346</v>
      </c>
      <c r="BV22" s="25">
        <f>1/1.8912</f>
        <v>0.52876480541455162</v>
      </c>
      <c r="BW22" s="25">
        <f>1/1.9457</f>
        <v>0.51395384694454438</v>
      </c>
      <c r="BX22" s="25">
        <f>1/1.9611</f>
        <v>0.5099179032175819</v>
      </c>
      <c r="BY22" s="25">
        <f>1/1.9619</f>
        <v>0.50970997502421123</v>
      </c>
      <c r="BZ22" s="25">
        <v>0.50965801946893641</v>
      </c>
      <c r="CA22" s="25">
        <f>1/1.963</f>
        <v>0.50942435048395307</v>
      </c>
      <c r="CB22" s="25">
        <f>1/1.9938</f>
        <v>0.50155481994181961</v>
      </c>
      <c r="CC22" s="25">
        <f>1/1.9759</f>
        <v>0.5060984867655246</v>
      </c>
      <c r="CD22" s="25">
        <f>1/2.0019</f>
        <v>0.49952545082171934</v>
      </c>
      <c r="CE22" s="25">
        <f>1/2.0306</f>
        <v>0.49246528119767552</v>
      </c>
      <c r="CF22" s="25">
        <f>1/2.0133</f>
        <v>0.49669696518154272</v>
      </c>
      <c r="CG22" s="25">
        <f>1/2.0274</f>
        <v>0.49324257669922067</v>
      </c>
      <c r="CH22" s="25">
        <f>1/2.0604</f>
        <v>0.48534265191225007</v>
      </c>
      <c r="CI22" s="25">
        <f>1/2.0651</f>
        <v>0.48423805142608101</v>
      </c>
      <c r="CJ22" s="25">
        <f>1/1.9969</f>
        <v>0.50077620311482796</v>
      </c>
      <c r="CK22" s="25">
        <f>1/1.9864</f>
        <v>0.50342327829238831</v>
      </c>
      <c r="CL22" s="25">
        <f>1/1.9892</f>
        <v>0.50271465915946112</v>
      </c>
      <c r="CM22" s="25">
        <f>1/1.9942</f>
        <v>0.50145421722996686</v>
      </c>
      <c r="CN22" s="25">
        <f>1/1.9672</f>
        <v>0.50833672224481496</v>
      </c>
      <c r="CO22" s="25">
        <v>0.50660000000000005</v>
      </c>
      <c r="CP22" s="25">
        <f>1/1.9942</f>
        <v>0.50145421722996686</v>
      </c>
      <c r="CQ22" s="25">
        <f>1/1.9797</f>
        <v>0.50512703945042181</v>
      </c>
      <c r="CR22" s="25">
        <f>1/1.9797</f>
        <v>0.50512703945042181</v>
      </c>
      <c r="CS22" s="25">
        <f>1/1.8435</f>
        <v>0.54244643341470034</v>
      </c>
      <c r="CT22" s="25">
        <f>1/1.6434</f>
        <v>0.60849458439819881</v>
      </c>
      <c r="CU22" s="25">
        <f>1/1.5369</f>
        <v>0.65066042032663152</v>
      </c>
      <c r="CV22" s="25">
        <f>1/1.4448</f>
        <v>0.69213732004429673</v>
      </c>
      <c r="CW22" s="25">
        <f>1/1.4239</f>
        <v>0.70229650958634737</v>
      </c>
      <c r="CX22" s="25">
        <f>1/1.4261</f>
        <v>0.70121309866068304</v>
      </c>
      <c r="CY22" s="25">
        <f>1/1.4263</f>
        <v>0.70111477248825638</v>
      </c>
      <c r="CZ22" s="25">
        <f>1/1.4765</f>
        <v>0.67727734507280735</v>
      </c>
      <c r="DA22" s="25">
        <f>1/1.595</f>
        <v>0.62695924764890287</v>
      </c>
      <c r="DB22" s="25">
        <f>1/1.6601</f>
        <v>0.60237335100295164</v>
      </c>
      <c r="DC22" s="25">
        <f>1/1.6511</f>
        <v>0.60565683483738109</v>
      </c>
      <c r="DD22" s="25">
        <f>1/1.6277</f>
        <v>0.61436382625790997</v>
      </c>
      <c r="DE22" s="25">
        <f>1/1.5986</f>
        <v>0.62554735393469285</v>
      </c>
      <c r="DF22" s="25">
        <f>1/1.6557</f>
        <v>0.60397414990638398</v>
      </c>
      <c r="DG22" s="25">
        <f>1/1.6497</f>
        <v>0.60617081893677638</v>
      </c>
      <c r="DH22" s="25">
        <f>1/1.6072</f>
        <v>0.62220009955201594</v>
      </c>
      <c r="DI22" s="25">
        <f>1/1.6127</f>
        <v>0.62007812984436039</v>
      </c>
      <c r="DJ22" s="25">
        <f>1/1.5235</f>
        <v>0.6563833278634722</v>
      </c>
      <c r="DK22" s="25">
        <f>1/1.508</f>
        <v>0.66312997347480107</v>
      </c>
      <c r="DL22" s="25">
        <f>1/1.5241</f>
        <v>0.65612492618594576</v>
      </c>
      <c r="DM22" s="25">
        <f>1/1.4521</f>
        <v>0.68865780593623027</v>
      </c>
      <c r="DN22" s="25">
        <f>1/1.5048</f>
        <v>0.66454013822434876</v>
      </c>
      <c r="DO22" s="25">
        <f>1/1.5602</f>
        <v>0.64094346878605302</v>
      </c>
      <c r="DP22" s="25">
        <f>1/1.5457</f>
        <v>0.64695607168273273</v>
      </c>
      <c r="DQ22" s="25">
        <f>1/1.5807</f>
        <v>0.63263111279812745</v>
      </c>
      <c r="DR22" s="25">
        <f>1/1.5778</f>
        <v>0.63379389022689814</v>
      </c>
      <c r="DS22" s="25">
        <f>1/1.5558</f>
        <v>0.64275613832112088</v>
      </c>
      <c r="DT22" s="25">
        <f>1/1.5432</f>
        <v>0.64800414722654232</v>
      </c>
      <c r="DU22" s="25">
        <f>1/1.5829</f>
        <v>0.63175184787415506</v>
      </c>
      <c r="DV22" s="25">
        <f>1/1.6091</f>
        <v>0.62146541544963019</v>
      </c>
      <c r="DW22" s="25">
        <f>1/1.6073</f>
        <v>0.62216138866421955</v>
      </c>
      <c r="DX22" s="25">
        <f>1/1.6648</f>
        <v>0.60067275348390192</v>
      </c>
      <c r="DY22" s="25">
        <f>1/1.6497</f>
        <v>0.60617081893677638</v>
      </c>
      <c r="DZ22" s="25">
        <f>1/1.6067</f>
        <v>0.62239372627123923</v>
      </c>
      <c r="EA22" s="25">
        <f>1/1.636</f>
        <v>0.61124694376528121</v>
      </c>
      <c r="EB22" s="25">
        <f>1/1.631</f>
        <v>0.61312078479460452</v>
      </c>
      <c r="EC22" s="25">
        <f>1/1.5616</f>
        <v>0.64036885245901631</v>
      </c>
      <c r="ED22" s="25">
        <f>1/1.6079</f>
        <v>0.62192922445425702</v>
      </c>
      <c r="EE22" s="25">
        <f>1/1.5603</f>
        <v>0.6409023905659168</v>
      </c>
      <c r="EF22" s="25">
        <f>1/1.5411</f>
        <v>0.64888715852313283</v>
      </c>
      <c r="EG22" s="25">
        <f>1/1.5704</f>
        <v>0.63678043810494145</v>
      </c>
      <c r="EH22" s="25">
        <f>1/1.5917</f>
        <v>0.62825909405038638</v>
      </c>
      <c r="EI22" s="25">
        <f>1/1.5958</f>
        <v>0.62664494297531015</v>
      </c>
      <c r="EJ22" s="25">
        <f>1/1.6271</f>
        <v>0.6145903755147194</v>
      </c>
      <c r="EK22" s="25">
        <f>1/1.5466</f>
        <v>0.64657959394801501</v>
      </c>
      <c r="EL22" s="25">
        <f>1/1.552</f>
        <v>0.64432989690721643</v>
      </c>
      <c r="EM22" s="25">
        <f>1/1.5711</f>
        <v>0.63649672204188146</v>
      </c>
      <c r="EN22" s="25">
        <f>1/1.5786</f>
        <v>0.63347269732674527</v>
      </c>
      <c r="EO22" s="25">
        <f>1/1.623</f>
        <v>0.61614294516327783</v>
      </c>
      <c r="EP22" s="25">
        <f>1/1.603</f>
        <v>0.62383031815346224</v>
      </c>
      <c r="EQ22" s="25">
        <f>1/1.6037</f>
        <v>0.62355802207395405</v>
      </c>
      <c r="ER22" s="25">
        <f>1/1.6161</f>
        <v>0.61877359074314708</v>
      </c>
      <c r="ES22" s="25">
        <f>1/1.58</f>
        <v>0.63291139240506322</v>
      </c>
      <c r="ET22" s="25">
        <f>1/1.5163</f>
        <v>0.65950009892501482</v>
      </c>
      <c r="EU22" s="49">
        <f>1/1.5193</f>
        <v>0.658197854274995</v>
      </c>
      <c r="EV22" s="49">
        <f>1/1.5488</f>
        <v>0.64566115702479343</v>
      </c>
      <c r="EW22" s="49">
        <f>1/1.5227</f>
        <v>0.65672818020621271</v>
      </c>
      <c r="EX22" s="49">
        <f>1/1.5259</f>
        <v>0.65535094042859954</v>
      </c>
      <c r="EY22" s="49">
        <f>1/1.5241</f>
        <v>0.65612492618594576</v>
      </c>
      <c r="EZ22" s="49">
        <f>1/1.5502</f>
        <v>0.64507805444458777</v>
      </c>
      <c r="FA22" s="49">
        <f>1/1.6159</f>
        <v>0.61885017637230033</v>
      </c>
      <c r="FB22" s="49">
        <f>1/1.6029</f>
        <v>0.62386923700792318</v>
      </c>
      <c r="FC22" s="49">
        <f>1/1.6337</f>
        <v>0.61210748607455467</v>
      </c>
      <c r="FD22" s="56">
        <f>1/1.6493</f>
        <v>0.60631783180743348</v>
      </c>
      <c r="FE22" s="56">
        <f>1/1.6494</f>
        <v>0.60628107190493519</v>
      </c>
      <c r="FF22" s="56">
        <f>1/1.6687</f>
        <v>0.59926889195181876</v>
      </c>
      <c r="FG22" s="56">
        <f>1/1.6644</f>
        <v>0.60081711127132897</v>
      </c>
      <c r="FH22" s="56">
        <f>1/1.6824</f>
        <v>0.59438896814075137</v>
      </c>
      <c r="FI22" s="56">
        <f>1/1.672</f>
        <v>0.59808612440191389</v>
      </c>
      <c r="FJ22" s="56">
        <f>1/1.7034</f>
        <v>0.58706117177409889</v>
      </c>
      <c r="FK22" s="56">
        <f>1/1.6916</f>
        <v>0.59115630172617639</v>
      </c>
      <c r="FL22" s="56">
        <f>1/1.6589</f>
        <v>0.60280909036108266</v>
      </c>
      <c r="FM22" s="56">
        <f>1/1.6238</f>
        <v>0.61583938908732605</v>
      </c>
      <c r="FN22" s="56">
        <f>1/1.5995</f>
        <v>0.62519537355423571</v>
      </c>
      <c r="FO22" s="56">
        <f>1/1.572</f>
        <v>0.63613231552162852</v>
      </c>
      <c r="FP22" s="56">
        <f>1/1.5564</f>
        <v>0.64250835260858385</v>
      </c>
      <c r="FQ22" s="56">
        <f>1/1.5076</f>
        <v>0.66330591668877681</v>
      </c>
      <c r="FR22" s="56">
        <f>1/1.5424</f>
        <v>0.64834024896265563</v>
      </c>
      <c r="FS22" s="56">
        <f>1/1.4811</f>
        <v>0.67517385726824652</v>
      </c>
      <c r="FT22" s="56">
        <f>1/1.5428</f>
        <v>0.64817215452424171</v>
      </c>
      <c r="FU22" s="56">
        <f>1/1.5319</f>
        <v>0.65278412429009725</v>
      </c>
      <c r="FV22" s="56">
        <f>1/1.5733</f>
        <v>0.63560668658234287</v>
      </c>
      <c r="FW22" s="56">
        <f>1/1.5608</f>
        <v>0.6406970784213224</v>
      </c>
      <c r="FX22" s="56">
        <f>1/1.5414</f>
        <v>0.64876086674451794</v>
      </c>
      <c r="FY22" s="56">
        <f>1/1.5153</f>
        <v>0.65993532633801888</v>
      </c>
      <c r="FZ22" s="56">
        <f>1/1.5327</f>
        <v>0.6524434005350036</v>
      </c>
      <c r="GA22" s="56">
        <f>1/1.5037</f>
        <v>0.66502626853760727</v>
      </c>
      <c r="GB22" s="56">
        <f>1/1.4816</f>
        <v>0.67494600431965446</v>
      </c>
      <c r="GC22" s="56">
        <f>1/1.4353</f>
        <v>0.6967184560719013</v>
      </c>
      <c r="GD22" s="56">
        <f>1/1.386</f>
        <v>0.72150072150072153</v>
      </c>
      <c r="GE22" s="56">
        <f>1/1.4372</f>
        <v>0.69579738380183687</v>
      </c>
      <c r="GF22" s="56">
        <f>1/1.4614</f>
        <v>0.68427535240180648</v>
      </c>
      <c r="GG22" s="56">
        <f>1/1.4641</f>
        <v>0.68301345536507074</v>
      </c>
      <c r="GH22" s="56">
        <f>1/1.344</f>
        <v>0.74404761904761896</v>
      </c>
      <c r="GI22" s="56">
        <f>1/1.3164</f>
        <v>0.75964752354907317</v>
      </c>
      <c r="GJ22" s="56">
        <f>1/1.3085</f>
        <v>0.76423385555980128</v>
      </c>
      <c r="GK22" s="56">
        <f>1/1.3041</f>
        <v>0.76681236101525951</v>
      </c>
      <c r="GL22" s="56">
        <f>1/1.219</f>
        <v>0.8203445447087776</v>
      </c>
      <c r="GM22" s="56">
        <f>1/1.2491</f>
        <v>0.80057641501881349</v>
      </c>
      <c r="GN22" s="56">
        <f>1/1.2286</f>
        <v>0.81393455966140327</v>
      </c>
      <c r="GO22" s="56">
        <f>1/1.2497</f>
        <v>0.80019204609106187</v>
      </c>
      <c r="GP22" s="56">
        <f>1/1.2439</f>
        <v>0.80392314494734307</v>
      </c>
      <c r="GQ22" s="56">
        <f>1/1.2477</f>
        <v>0.80147471347278987</v>
      </c>
      <c r="GR22" s="56">
        <f>1/1.2895</f>
        <v>0.7754943776657619</v>
      </c>
      <c r="GS22" s="56">
        <f>1/1.2812</f>
        <v>0.78051826412738068</v>
      </c>
      <c r="GT22" s="56">
        <f>1/1.3008</f>
        <v>0.76875768757687579</v>
      </c>
      <c r="GU22" s="56">
        <f>1/1.314</f>
        <v>0.76103500761035003</v>
      </c>
      <c r="GV22" s="56">
        <f>1/1.2915</f>
        <v>0.77429345722028642</v>
      </c>
      <c r="GW22" s="56">
        <f>1/1.3429</f>
        <v>0.74465708541216769</v>
      </c>
      <c r="GX22" s="56">
        <f>1/1.3208</f>
        <v>0.75711689884918232</v>
      </c>
      <c r="GY22" s="56">
        <f>1/1.3411</f>
        <v>0.74565655059279701</v>
      </c>
      <c r="GZ22" s="56">
        <f>1/1.3441</f>
        <v>0.74399226248047012</v>
      </c>
      <c r="HA22" s="56">
        <f>1/1.4075</f>
        <v>0.71047957371225579</v>
      </c>
      <c r="HB22" s="56">
        <f>1/1.3901</f>
        <v>0.71937270699949651</v>
      </c>
      <c r="HC22" s="56">
        <f>1/1.4023</f>
        <v>0.71311416957854945</v>
      </c>
      <c r="HD22" s="56">
        <f>1/1.3771</f>
        <v>0.7261636772928618</v>
      </c>
      <c r="HE22" s="56">
        <f>1/1.328</f>
        <v>0.75301204819277101</v>
      </c>
      <c r="HF22" s="56">
        <f>1/1.308</f>
        <v>0.76452599388379205</v>
      </c>
      <c r="HG22" s="56">
        <f>1/1.3137</f>
        <v>0.76120879957372301</v>
      </c>
      <c r="HH22" s="56">
        <f>1/1.3008</f>
        <v>0.76875768757687579</v>
      </c>
      <c r="HI22" s="56">
        <f>1/1.3076</f>
        <v>0.76475986540226359</v>
      </c>
      <c r="HJ22" s="56">
        <f>1/1.2709</f>
        <v>0.78684396884097885</v>
      </c>
      <c r="HK22" s="88">
        <v>0.7822277847309137</v>
      </c>
      <c r="HL22" s="88">
        <v>0.78808416738907716</v>
      </c>
      <c r="HM22" s="88">
        <v>0.76202087937209473</v>
      </c>
      <c r="HN22" s="88">
        <v>0.75091987684914019</v>
      </c>
      <c r="HO22" s="88">
        <v>0.76569678407350683</v>
      </c>
      <c r="HP22" s="88">
        <v>0.77333539556105491</v>
      </c>
      <c r="HQ22" s="88">
        <v>0.79295852826897151</v>
      </c>
      <c r="HR22" s="88">
        <v>0.78895463510848118</v>
      </c>
      <c r="HS22" s="88">
        <v>0.82257135806531212</v>
      </c>
      <c r="HT22" s="88">
        <v>0.8207485226526593</v>
      </c>
      <c r="HU22" s="88">
        <v>0.81347108110306676</v>
      </c>
      <c r="HV22" s="88">
        <v>0.77489345215032934</v>
      </c>
      <c r="HW22" s="88">
        <v>0.77465334262917351</v>
      </c>
      <c r="HX22" s="88">
        <v>0.76260199801723483</v>
      </c>
      <c r="HY22" s="88">
        <v>0.76400030560012222</v>
      </c>
      <c r="HZ22" s="88">
        <v>0.7759155803848542</v>
      </c>
      <c r="IA22" s="88">
        <v>0.80808080808080807</v>
      </c>
      <c r="IB22" s="88">
        <v>0.8027614995584812</v>
      </c>
      <c r="IC22" s="88">
        <v>0.81208380704888738</v>
      </c>
      <c r="ID22" s="88">
        <v>0.81241368104638878</v>
      </c>
      <c r="IE22" s="88">
        <v>0.76231132794633327</v>
      </c>
      <c r="IF22" s="88">
        <v>0.74911978425350212</v>
      </c>
      <c r="IG22" s="88">
        <v>0.77736318407960203</v>
      </c>
      <c r="IH22" s="88">
        <v>0.76769537847382163</v>
      </c>
      <c r="II22" s="88">
        <v>0.75030012004801927</v>
      </c>
      <c r="IJ22" s="88">
        <v>0.73286918285086111</v>
      </c>
      <c r="IK22" s="88">
        <v>0.72875674099985421</v>
      </c>
      <c r="IL22" s="88">
        <v>0.71561471303850011</v>
      </c>
      <c r="IM22" s="88">
        <v>0.727749072119933</v>
      </c>
      <c r="IN22" s="88">
        <v>0.71664038985237211</v>
      </c>
      <c r="IO22" s="88">
        <v>0.70546737213403876</v>
      </c>
      <c r="IP22" s="88">
        <v>0.72191741264799303</v>
      </c>
      <c r="IQ22" s="88">
        <v>0.71602463124731486</v>
      </c>
      <c r="IR22" s="88">
        <v>0.72684983282453852</v>
      </c>
      <c r="IS22" s="88">
        <v>0.74437993151704629</v>
      </c>
      <c r="IT22" s="88">
        <v>0.72817301390810463</v>
      </c>
      <c r="IU22" s="88">
        <v>0.75125835774923</v>
      </c>
      <c r="IV22" s="88">
        <v>0.74085049636983247</v>
      </c>
      <c r="IW22" s="88">
        <v>0.74604595643091609</v>
      </c>
      <c r="IX22" s="88">
        <v>0.74799910240107714</v>
      </c>
      <c r="IY22" s="88">
        <v>0.76126674786845305</v>
      </c>
      <c r="IZ22" s="88">
        <v>0.80128205128205132</v>
      </c>
      <c r="JA22" s="88">
        <v>0.7908264136022144</v>
      </c>
      <c r="JB22" s="88">
        <v>0.8245382585751978</v>
      </c>
      <c r="JC22" s="88">
        <v>0.82155767334866903</v>
      </c>
      <c r="JD22" s="88">
        <v>0.85755938598747972</v>
      </c>
      <c r="JE22" s="88">
        <v>0.89453439484748198</v>
      </c>
      <c r="JF22" s="88">
        <v>0.86229197206174013</v>
      </c>
      <c r="JG22" s="88">
        <v>0.83731055848614255</v>
      </c>
      <c r="JH22" s="88">
        <v>0.82953131480713393</v>
      </c>
      <c r="JI22" s="88">
        <v>0.81208380704888738</v>
      </c>
      <c r="JJ22" s="88">
        <v>0.83056478405315615</v>
      </c>
      <c r="JK22" s="88">
        <v>0.80912695201877172</v>
      </c>
      <c r="JL22" s="88">
        <v>0.8026326350429408</v>
      </c>
      <c r="JM22" s="88">
        <v>0.80978216859664742</v>
      </c>
      <c r="JN22" s="88">
        <v>0.79207920792079212</v>
      </c>
      <c r="JO22" s="88">
        <v>0.77851304009342159</v>
      </c>
      <c r="JP22" s="88">
        <v>0.78746357980943382</v>
      </c>
      <c r="JQ22" s="88">
        <v>0.81699346405228757</v>
      </c>
      <c r="JR22" s="88">
        <v>0.82196284727930302</v>
      </c>
      <c r="JS22" s="88">
        <v>0.78820840230156852</v>
      </c>
      <c r="JT22" s="88">
        <v>0.78492935635792782</v>
      </c>
      <c r="JU22" s="88">
        <v>0.78814627994955866</v>
      </c>
      <c r="JV22" s="88">
        <v>0.78945290913397015</v>
      </c>
      <c r="JW22" s="88">
        <v>0.79226746949770244</v>
      </c>
      <c r="JX22" s="88">
        <v>0.79770261646458196</v>
      </c>
      <c r="JY22" s="88">
        <v>0.7862871520679352</v>
      </c>
      <c r="JZ22" s="88">
        <v>0.79151495963273699</v>
      </c>
      <c r="KA22" s="88">
        <v>0.77966630282239202</v>
      </c>
      <c r="KB22" s="88">
        <v>0.75832259042996897</v>
      </c>
      <c r="KC22" s="88">
        <v>0.7452120128176466</v>
      </c>
      <c r="KD22" s="88">
        <v>0.77053475111727532</v>
      </c>
      <c r="KE22" s="88">
        <v>0.78696781301644769</v>
      </c>
      <c r="KF22" s="88">
        <v>0.79674926300693161</v>
      </c>
      <c r="KG22" s="88">
        <v>0.8044405116241653</v>
      </c>
      <c r="KH22" s="88">
        <v>0.79365079365079361</v>
      </c>
      <c r="KI22" s="88">
        <v>0.77273781006104625</v>
      </c>
      <c r="KJ22" s="88">
        <v>0.74805505685218432</v>
      </c>
      <c r="KK22" s="88">
        <v>0.7421150278293136</v>
      </c>
      <c r="KL22" s="88">
        <v>0.73014018691588789</v>
      </c>
      <c r="KM22" s="88">
        <v>0.75505889459377828</v>
      </c>
      <c r="KN22" s="88">
        <v>0.74117995849392238</v>
      </c>
      <c r="KO22" s="88">
        <v>0.7438262421898244</v>
      </c>
      <c r="KP22" s="88">
        <v>0.76080340839926963</v>
      </c>
      <c r="KQ22" s="88">
        <v>0.75711689884918232</v>
      </c>
      <c r="KR22" s="88">
        <v>0.74465708541216769</v>
      </c>
      <c r="KS22" s="88">
        <v>0.72584742687087178</v>
      </c>
    </row>
    <row r="23" spans="1:305" ht="23.25" customHeight="1" x14ac:dyDescent="0.2">
      <c r="A23" s="42" t="s">
        <v>15</v>
      </c>
      <c r="B23" s="15" t="s">
        <v>28</v>
      </c>
      <c r="C23" s="78">
        <v>1.5963000000000001</v>
      </c>
      <c r="D23" s="12">
        <v>1.6377999999999999</v>
      </c>
      <c r="E23" s="12">
        <v>1.6459999999999999</v>
      </c>
      <c r="F23" s="12">
        <v>1.6780999999999999</v>
      </c>
      <c r="G23" s="12">
        <v>1.726</v>
      </c>
      <c r="H23" s="12">
        <v>1.7248000000000001</v>
      </c>
      <c r="I23" s="12">
        <v>1.78</v>
      </c>
      <c r="J23" s="12">
        <v>1.7674000000000001</v>
      </c>
      <c r="K23" s="12">
        <v>1.7267999999999999</v>
      </c>
      <c r="L23" s="12">
        <v>1.6513</v>
      </c>
      <c r="M23" s="12">
        <v>1.6005</v>
      </c>
      <c r="N23" s="12">
        <v>1.6512</v>
      </c>
      <c r="O23" s="12">
        <v>1.6566000000000001</v>
      </c>
      <c r="P23" s="12">
        <v>1.6747000000000001</v>
      </c>
      <c r="Q23" s="12">
        <v>1.7089000000000001</v>
      </c>
      <c r="R23" s="12">
        <v>1.7053</v>
      </c>
      <c r="S23" s="12">
        <v>1.6830000000000001</v>
      </c>
      <c r="T23" s="12">
        <v>1.623</v>
      </c>
      <c r="U23" s="12">
        <v>1.5620000000000001</v>
      </c>
      <c r="V23" s="12">
        <v>1.4899</v>
      </c>
      <c r="W23" s="12">
        <v>1.48</v>
      </c>
      <c r="X23" s="12">
        <v>1.4950000000000001</v>
      </c>
      <c r="Y23" s="12">
        <v>1.4917</v>
      </c>
      <c r="Z23" s="12">
        <v>1.4895</v>
      </c>
      <c r="AA23" s="12">
        <v>1.4854000000000001</v>
      </c>
      <c r="AB23" s="12">
        <v>1.3929</v>
      </c>
      <c r="AC23" s="12">
        <v>1.3555999999999999</v>
      </c>
      <c r="AD23" s="12">
        <v>1.3607</v>
      </c>
      <c r="AE23" s="12">
        <v>1.3665</v>
      </c>
      <c r="AF23" s="12">
        <v>1.3561000000000001</v>
      </c>
      <c r="AG23" s="12">
        <v>1.2848999999999999</v>
      </c>
      <c r="AH23" s="12">
        <v>1.3499000000000001</v>
      </c>
      <c r="AI23" s="12">
        <v>1.3627</v>
      </c>
      <c r="AJ23" s="12">
        <v>1.4117</v>
      </c>
      <c r="AK23" s="12">
        <v>1.3234999999999999</v>
      </c>
      <c r="AL23" s="12">
        <v>1.3302</v>
      </c>
      <c r="AM23" s="12">
        <v>1.2986</v>
      </c>
      <c r="AN23" s="12">
        <v>1.2986</v>
      </c>
      <c r="AO23" s="12">
        <v>1.2986</v>
      </c>
      <c r="AP23" s="12">
        <v>1.2664</v>
      </c>
      <c r="AQ23" s="12">
        <v>1.28</v>
      </c>
      <c r="AR23" s="12">
        <v>1.2916000000000001</v>
      </c>
      <c r="AS23" s="12">
        <v>1.2514000000000001</v>
      </c>
      <c r="AT23" s="12">
        <v>1.2645</v>
      </c>
      <c r="AU23" s="12">
        <v>1.2751999999999999</v>
      </c>
      <c r="AV23" s="12">
        <v>1.2781</v>
      </c>
      <c r="AW23" s="12">
        <v>1.2596000000000001</v>
      </c>
      <c r="AX23" s="26">
        <v>1.2753000000000001</v>
      </c>
      <c r="AY23" s="26">
        <v>1.1432</v>
      </c>
      <c r="AZ23" s="26">
        <v>1.1680999999999999</v>
      </c>
      <c r="BA23" s="26">
        <v>1.1891</v>
      </c>
      <c r="BB23" s="26">
        <v>1.1639999999999999</v>
      </c>
      <c r="BC23" s="26">
        <v>1.1981999999999999</v>
      </c>
      <c r="BD23" s="26">
        <v>1.1924999999999999</v>
      </c>
      <c r="BE23" s="26">
        <v>1.2353000000000001</v>
      </c>
      <c r="BF23" s="26">
        <v>1.2806</v>
      </c>
      <c r="BG23" s="26">
        <v>1.2883</v>
      </c>
      <c r="BH23" s="26">
        <v>1.2682</v>
      </c>
      <c r="BI23" s="26">
        <v>1.2938000000000001</v>
      </c>
      <c r="BJ23" s="26">
        <v>1.2726999999999999</v>
      </c>
      <c r="BK23" s="26">
        <v>1.3151999999999999</v>
      </c>
      <c r="BL23" s="26">
        <v>1.3141</v>
      </c>
      <c r="BM23" s="26">
        <v>1.2866</v>
      </c>
      <c r="BN23" s="26">
        <v>1.3224</v>
      </c>
      <c r="BO23" s="26">
        <v>1.2970999999999999</v>
      </c>
      <c r="BP23" s="26">
        <v>1.2598</v>
      </c>
      <c r="BQ23" s="26">
        <v>1.2128000000000001</v>
      </c>
      <c r="BR23" s="26">
        <v>1.2364999999999999</v>
      </c>
      <c r="BS23" s="26">
        <v>1.2324999999999999</v>
      </c>
      <c r="BT23" s="26">
        <v>1.2277</v>
      </c>
      <c r="BU23" s="26">
        <v>1.2426999999999999</v>
      </c>
      <c r="BV23" s="26">
        <v>1.2524999999999999</v>
      </c>
      <c r="BW23" s="26">
        <v>1.21</v>
      </c>
      <c r="BX23" s="26">
        <v>1.2224999999999999</v>
      </c>
      <c r="BY23" s="26">
        <v>1.252</v>
      </c>
      <c r="BZ23" s="26">
        <v>1.2191000000000001</v>
      </c>
      <c r="CA23" s="26">
        <v>1.2176</v>
      </c>
      <c r="CB23" s="26">
        <v>1.2059</v>
      </c>
      <c r="CC23" s="26">
        <v>1.2255</v>
      </c>
      <c r="CD23" s="26">
        <v>1.2322</v>
      </c>
      <c r="CE23" s="26">
        <v>1.202</v>
      </c>
      <c r="CF23" s="26">
        <v>1.2021999999999999</v>
      </c>
      <c r="CG23" s="26">
        <v>1.1727000000000001</v>
      </c>
      <c r="CH23" s="26">
        <v>1.1653</v>
      </c>
      <c r="CI23" s="26">
        <v>1.1167</v>
      </c>
      <c r="CJ23" s="26">
        <v>1.1248</v>
      </c>
      <c r="CK23" s="26">
        <v>1.0843</v>
      </c>
      <c r="CL23" s="26">
        <v>1.0515000000000001</v>
      </c>
      <c r="CM23" s="26">
        <v>0.99929999999999997</v>
      </c>
      <c r="CN23" s="26">
        <v>1.0375000000000001</v>
      </c>
      <c r="CO23" s="26">
        <v>1.0495000000000001</v>
      </c>
      <c r="CP23" s="26">
        <v>1.0187999999999999</v>
      </c>
      <c r="CQ23" s="39">
        <v>1.0477000000000001</v>
      </c>
      <c r="CR23" s="39">
        <v>1.0978000000000001</v>
      </c>
      <c r="CS23" s="39">
        <v>1.0841000000000001</v>
      </c>
      <c r="CT23" s="39">
        <v>1.1268</v>
      </c>
      <c r="CU23" s="39">
        <v>1.2012</v>
      </c>
      <c r="CV23" s="39">
        <v>1.056</v>
      </c>
      <c r="CW23" s="39">
        <v>1.1549</v>
      </c>
      <c r="CX23" s="39">
        <v>1.1667000000000001</v>
      </c>
      <c r="CY23" s="39">
        <v>1.1499999999999999</v>
      </c>
      <c r="CZ23" s="39">
        <v>1.1358999999999999</v>
      </c>
      <c r="DA23" s="39">
        <v>1.0828</v>
      </c>
      <c r="DB23" s="39">
        <v>1.0811999999999999</v>
      </c>
      <c r="DC23" s="39">
        <v>1.0867</v>
      </c>
      <c r="DD23" s="39">
        <v>1.0595000000000001</v>
      </c>
      <c r="DE23" s="39">
        <v>1.0353000000000001</v>
      </c>
      <c r="DF23" s="39">
        <v>1.0182</v>
      </c>
      <c r="DG23" s="39">
        <v>1.0055000000000001</v>
      </c>
      <c r="DH23" s="39">
        <v>1.0354000000000001</v>
      </c>
      <c r="DI23" s="39">
        <v>1.0525</v>
      </c>
      <c r="DJ23" s="39">
        <v>1.0810999999999999</v>
      </c>
      <c r="DK23" s="39">
        <v>1.0658000000000001</v>
      </c>
      <c r="DL23" s="39">
        <v>1.0858000000000001</v>
      </c>
      <c r="DM23" s="39">
        <v>1.1553</v>
      </c>
      <c r="DN23" s="39">
        <v>1.083</v>
      </c>
      <c r="DO23" s="39">
        <v>1.0404</v>
      </c>
      <c r="DP23" s="39">
        <v>1.0258</v>
      </c>
      <c r="DQ23" s="39">
        <v>0.97640000000000005</v>
      </c>
      <c r="DR23" s="39">
        <v>0.98939999999999995</v>
      </c>
      <c r="DS23" s="39">
        <v>1.0005999999999999</v>
      </c>
      <c r="DT23" s="39">
        <v>0.93440000000000001</v>
      </c>
      <c r="DU23" s="39">
        <v>0.76959999999999995</v>
      </c>
      <c r="DV23" s="39">
        <v>0.92800000000000005</v>
      </c>
      <c r="DW23" s="39">
        <v>0.91949999999999998</v>
      </c>
      <c r="DX23" s="39">
        <v>0.87280000000000002</v>
      </c>
      <c r="DY23" s="39">
        <v>0.84930000000000005</v>
      </c>
      <c r="DZ23" s="39">
        <v>0.83340000000000003</v>
      </c>
      <c r="EA23" s="39">
        <v>0.80159999999999998</v>
      </c>
      <c r="EB23" s="39">
        <v>0.82099999999999995</v>
      </c>
      <c r="EC23" s="39">
        <v>0.89680000000000004</v>
      </c>
      <c r="ED23" s="39">
        <v>0.86099999999999999</v>
      </c>
      <c r="EE23" s="39">
        <v>0.92100000000000004</v>
      </c>
      <c r="EF23" s="39">
        <v>0.94040000000000001</v>
      </c>
      <c r="EG23" s="39">
        <v>0.91769999999999996</v>
      </c>
      <c r="EH23" s="39">
        <v>0.89449999999999996</v>
      </c>
      <c r="EI23" s="39">
        <v>0.9052</v>
      </c>
      <c r="EJ23" s="39">
        <v>0.90759999999999996</v>
      </c>
      <c r="EK23" s="39">
        <v>0.97150000000000003</v>
      </c>
      <c r="EL23" s="39">
        <v>0.96540000000000004</v>
      </c>
      <c r="EM23" s="39">
        <v>0.97960000000000003</v>
      </c>
      <c r="EN23" s="39">
        <v>0.9597</v>
      </c>
      <c r="EO23" s="39">
        <v>0.93730000000000002</v>
      </c>
      <c r="EP23" s="39">
        <v>0.93610000000000004</v>
      </c>
      <c r="EQ23" s="39">
        <v>0.92800000000000005</v>
      </c>
      <c r="ER23" s="39">
        <v>0.91239999999999999</v>
      </c>
      <c r="ES23" s="39">
        <v>0.91069999999999995</v>
      </c>
      <c r="ET23" s="39">
        <v>0.92879999999999996</v>
      </c>
      <c r="EU23" s="39">
        <v>0.94979999999999998</v>
      </c>
      <c r="EV23" s="39">
        <v>0.93740000000000001</v>
      </c>
      <c r="EW23" s="39">
        <v>0.95369999999999999</v>
      </c>
      <c r="EX23" s="39">
        <v>0.94469999999999998</v>
      </c>
      <c r="EY23" s="39">
        <v>0.92959999999999998</v>
      </c>
      <c r="EZ23" s="39">
        <v>0.93140000000000001</v>
      </c>
      <c r="FA23" s="39">
        <v>0.90559999999999996</v>
      </c>
      <c r="FB23" s="39">
        <v>0.89990000000000003</v>
      </c>
      <c r="FC23" s="39">
        <v>0.90610000000000002</v>
      </c>
      <c r="FD23" s="62">
        <v>0.88739999999999997</v>
      </c>
      <c r="FE23" s="62">
        <v>0.90280000000000005</v>
      </c>
      <c r="FF23" s="62">
        <v>0.88859999999999995</v>
      </c>
      <c r="FG23" s="62">
        <v>0.88700000000000001</v>
      </c>
      <c r="FH23" s="62">
        <v>0.88339999999999996</v>
      </c>
      <c r="FI23" s="62">
        <v>0.89800000000000002</v>
      </c>
      <c r="FJ23" s="62">
        <v>0.8911</v>
      </c>
      <c r="FK23" s="62">
        <v>0.90849999999999997</v>
      </c>
      <c r="FL23" s="62">
        <v>0.91500000000000004</v>
      </c>
      <c r="FM23" s="62">
        <v>0.95120000000000005</v>
      </c>
      <c r="FN23" s="62">
        <v>0.95630000000000004</v>
      </c>
      <c r="FO23" s="62">
        <v>0.96499999999999997</v>
      </c>
      <c r="FP23" s="62">
        <v>0.98729999999999996</v>
      </c>
      <c r="FQ23" s="62">
        <v>0.92230000000000001</v>
      </c>
      <c r="FR23" s="62">
        <v>0.95340000000000003</v>
      </c>
      <c r="FS23" s="62">
        <v>0.9667</v>
      </c>
      <c r="FT23" s="62">
        <v>0.93989999999999996</v>
      </c>
      <c r="FU23" s="62">
        <v>0.94299999999999995</v>
      </c>
      <c r="FV23" s="62">
        <v>0.92579999999999996</v>
      </c>
      <c r="FW23" s="62">
        <v>0.9677</v>
      </c>
      <c r="FX23" s="62">
        <v>0.96099999999999997</v>
      </c>
      <c r="FY23" s="62">
        <v>0.97109999999999996</v>
      </c>
      <c r="FZ23" s="62">
        <v>0.98909999999999998</v>
      </c>
      <c r="GA23" s="62">
        <v>1.0299</v>
      </c>
      <c r="GB23" s="62">
        <v>0.9879</v>
      </c>
      <c r="GC23" s="62">
        <v>1.0141</v>
      </c>
      <c r="GD23" s="62">
        <v>0.99609999999999999</v>
      </c>
      <c r="GE23" s="62">
        <v>0.96499999999999997</v>
      </c>
      <c r="GF23" s="62">
        <v>0.96619999999999995</v>
      </c>
      <c r="GG23" s="62">
        <v>0.99160000000000004</v>
      </c>
      <c r="GH23" s="62">
        <v>0.97960000000000003</v>
      </c>
      <c r="GI23" s="62">
        <v>0.97970000000000002</v>
      </c>
      <c r="GJ23" s="62">
        <v>0.98340000000000005</v>
      </c>
      <c r="GK23" s="62">
        <v>0.97070000000000001</v>
      </c>
      <c r="GL23" s="62">
        <v>0.98819999999999997</v>
      </c>
      <c r="GM23" s="62">
        <v>1.0113000000000001</v>
      </c>
      <c r="GN23" s="62">
        <v>1.0166999999999999</v>
      </c>
      <c r="GO23" s="62">
        <v>0.99470000000000003</v>
      </c>
      <c r="GP23" s="62">
        <v>1.0095000000000001</v>
      </c>
      <c r="GQ23" s="62">
        <v>1.0007999999999999</v>
      </c>
      <c r="GR23" s="62">
        <v>0.99429999999999996</v>
      </c>
      <c r="GS23" s="62">
        <v>0.97570000000000001</v>
      </c>
      <c r="GT23" s="62">
        <v>0.95620000000000005</v>
      </c>
      <c r="GU23" s="62">
        <v>0.96899999999999997</v>
      </c>
      <c r="GV23" s="62">
        <v>0.96389999999999998</v>
      </c>
      <c r="GW23" s="62">
        <v>0.97060000000000002</v>
      </c>
      <c r="GX23" s="62">
        <v>0.995</v>
      </c>
      <c r="GY23" s="62">
        <v>0.98450000000000004</v>
      </c>
      <c r="GZ23" s="62">
        <v>0.97829999999999995</v>
      </c>
      <c r="HA23" s="62">
        <v>0.93720000000000003</v>
      </c>
      <c r="HB23" s="62">
        <v>0.9395</v>
      </c>
      <c r="HC23" s="62">
        <v>0.95589999999999997</v>
      </c>
      <c r="HD23" s="56">
        <v>0.98829999999999996</v>
      </c>
      <c r="HE23" s="56">
        <v>0.98829999999999996</v>
      </c>
      <c r="HF23" s="56">
        <v>0.99719999999999998</v>
      </c>
      <c r="HG23" s="56">
        <v>0.98780000000000001</v>
      </c>
      <c r="HH23" s="56">
        <v>0.96870000000000001</v>
      </c>
      <c r="HI23" s="56">
        <v>0.97729999999999995</v>
      </c>
      <c r="HJ23" s="56">
        <v>1.0053000000000001</v>
      </c>
      <c r="HK23" s="88">
        <v>0.99619999999999997</v>
      </c>
      <c r="HL23" s="88">
        <v>0.98380000000000001</v>
      </c>
      <c r="HM23" s="88">
        <v>0.99339999999999995</v>
      </c>
      <c r="HN23" s="88">
        <v>1.0005999999999999</v>
      </c>
      <c r="HO23" s="88">
        <v>0.99470000000000003</v>
      </c>
      <c r="HP23" s="88">
        <v>1.0195000000000001</v>
      </c>
      <c r="HQ23" s="88">
        <v>1.0065</v>
      </c>
      <c r="HR23" s="88">
        <v>0.97599999999999998</v>
      </c>
      <c r="HS23" s="88">
        <v>0.9899</v>
      </c>
      <c r="HT23" s="88">
        <v>0.98670000000000002</v>
      </c>
      <c r="HU23" s="88">
        <v>0.9909</v>
      </c>
      <c r="HV23" s="88">
        <v>0.98860000000000003</v>
      </c>
      <c r="HW23" s="88">
        <v>0.99870000000000003</v>
      </c>
      <c r="HX23" s="88">
        <v>0.96870000000000001</v>
      </c>
      <c r="HY23" s="88">
        <v>0.9698</v>
      </c>
      <c r="HZ23" s="88">
        <v>0.96879999999999999</v>
      </c>
      <c r="IA23" s="88">
        <v>0.95989999999999998</v>
      </c>
      <c r="IB23" s="88">
        <v>0.97470000000000001</v>
      </c>
      <c r="IC23" s="88">
        <v>0.96440000000000003</v>
      </c>
      <c r="ID23" s="88">
        <v>0.95130000000000003</v>
      </c>
      <c r="IE23" s="88">
        <v>0.90800000000000003</v>
      </c>
      <c r="IF23" s="88">
        <v>0.90359999999999996</v>
      </c>
      <c r="IG23" s="88">
        <v>0.91969999999999996</v>
      </c>
      <c r="IH23" s="88">
        <v>0.90939999999999999</v>
      </c>
      <c r="II23" s="88">
        <v>0.90410000000000001</v>
      </c>
      <c r="IJ23" s="88">
        <v>0.88129999999999997</v>
      </c>
      <c r="IK23" s="88">
        <v>0.88859999999999995</v>
      </c>
      <c r="IL23" s="88">
        <v>0.90620000000000001</v>
      </c>
      <c r="IM23" s="88">
        <v>0.94210000000000005</v>
      </c>
      <c r="IN23" s="88">
        <v>0.90880000000000005</v>
      </c>
      <c r="IO23" s="88">
        <v>0.90029999999999999</v>
      </c>
      <c r="IP23" s="88">
        <v>0.92110000000000003</v>
      </c>
      <c r="IQ23" s="88">
        <v>0.90549999999999997</v>
      </c>
      <c r="IR23" s="88">
        <v>0.91710000000000003</v>
      </c>
      <c r="IS23" s="88">
        <v>0.93400000000000005</v>
      </c>
      <c r="IT23" s="88">
        <v>0.91830000000000001</v>
      </c>
      <c r="IU23" s="88">
        <v>0.92310000000000003</v>
      </c>
      <c r="IV23" s="88">
        <v>0.91359999999999997</v>
      </c>
      <c r="IW23" s="88">
        <v>0.93110000000000004</v>
      </c>
      <c r="IX23" s="88">
        <v>0.92720000000000002</v>
      </c>
      <c r="IY23" s="88">
        <v>0.9234</v>
      </c>
      <c r="IZ23" s="88">
        <v>0.97109999999999996</v>
      </c>
      <c r="JA23" s="88">
        <v>0.95820000000000005</v>
      </c>
      <c r="JB23" s="88">
        <v>0.9546</v>
      </c>
      <c r="JC23" s="88">
        <v>0.95440000000000003</v>
      </c>
      <c r="JD23" s="88">
        <v>0.9738</v>
      </c>
      <c r="JE23" s="88">
        <v>0.97460000000000002</v>
      </c>
      <c r="JF23" s="88">
        <v>0.99609999999999999</v>
      </c>
      <c r="JG23" s="88">
        <v>0.95430000000000004</v>
      </c>
      <c r="JH23" s="88">
        <v>0.92420000000000002</v>
      </c>
      <c r="JI23" s="88">
        <v>0.92779999999999996</v>
      </c>
      <c r="JJ23" s="88">
        <v>0.93820000000000003</v>
      </c>
      <c r="JK23" s="88">
        <v>0.91639999999999999</v>
      </c>
      <c r="JL23" s="88">
        <v>0.89659999999999995</v>
      </c>
      <c r="JM23" s="88">
        <v>0.91159999999999997</v>
      </c>
      <c r="JN23" s="88">
        <v>0.90100000000000002</v>
      </c>
      <c r="JO23" s="88">
        <v>0.87080000000000002</v>
      </c>
      <c r="JP23" s="88">
        <v>0.88070000000000004</v>
      </c>
      <c r="JQ23" s="88">
        <v>0.90980000000000005</v>
      </c>
      <c r="JR23" s="88">
        <v>0.9012</v>
      </c>
      <c r="JS23" s="88">
        <v>0.87370000000000003</v>
      </c>
      <c r="JT23" s="88">
        <v>0.8407</v>
      </c>
      <c r="JU23" s="88">
        <v>0.86270000000000002</v>
      </c>
      <c r="JV23" s="88">
        <v>0.87829999999999997</v>
      </c>
      <c r="JW23" s="88">
        <v>0.90139999999999998</v>
      </c>
      <c r="JX23" s="88">
        <v>0.91359999999999997</v>
      </c>
      <c r="JY23" s="88">
        <v>0.90569999999999995</v>
      </c>
      <c r="JZ23" s="88">
        <v>0.90010000000000001</v>
      </c>
      <c r="KA23" s="88">
        <v>0.88180000000000003</v>
      </c>
      <c r="KB23" s="88">
        <v>0.84460000000000002</v>
      </c>
      <c r="KC23" s="88">
        <v>0.8427</v>
      </c>
      <c r="KD23" s="88">
        <v>0.86580000000000001</v>
      </c>
      <c r="KE23" s="88">
        <v>0.88090000000000002</v>
      </c>
      <c r="KF23" s="88">
        <v>0.90349999999999997</v>
      </c>
      <c r="KG23" s="88">
        <v>0.9103</v>
      </c>
      <c r="KH23" s="88">
        <v>0.90169999999999995</v>
      </c>
      <c r="KI23" s="88">
        <v>0.88129999999999997</v>
      </c>
      <c r="KJ23" s="88">
        <v>0.82589999999999997</v>
      </c>
      <c r="KK23" s="88">
        <v>0.82379999999999998</v>
      </c>
      <c r="KL23" s="88">
        <v>0.79859999999999998</v>
      </c>
      <c r="KM23" s="88">
        <v>0.81269999999999998</v>
      </c>
      <c r="KN23" s="88">
        <v>0.8004</v>
      </c>
      <c r="KO23" s="88">
        <v>0.79590000000000005</v>
      </c>
      <c r="KP23" s="88">
        <v>0.80249999999999999</v>
      </c>
      <c r="KQ23" s="88">
        <v>0.80579999999999996</v>
      </c>
      <c r="KR23" s="88">
        <v>0.79359999999999997</v>
      </c>
      <c r="KS23" s="88">
        <v>0.76719999999999999</v>
      </c>
    </row>
    <row r="24" spans="1:305" ht="3" customHeight="1" thickBot="1" x14ac:dyDescent="0.25">
      <c r="A24" s="43"/>
      <c r="B24" s="43"/>
      <c r="C24" s="43"/>
      <c r="D24" s="41"/>
      <c r="E24" s="41"/>
      <c r="F24" s="41"/>
      <c r="G24" s="41"/>
      <c r="H24" s="41"/>
      <c r="I24" s="79"/>
      <c r="J24" s="79"/>
      <c r="K24" s="79"/>
      <c r="L24" s="79"/>
      <c r="M24" s="79"/>
      <c r="N24" s="79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41"/>
      <c r="DD24" s="41"/>
      <c r="DE24" s="41"/>
      <c r="DF24" s="41"/>
      <c r="DG24" s="41"/>
      <c r="DH24" s="41"/>
      <c r="DI24" s="41"/>
      <c r="DJ24" s="41"/>
      <c r="DK24" s="41"/>
      <c r="DL24" s="41"/>
      <c r="DM24" s="41"/>
      <c r="DN24" s="41"/>
      <c r="DO24" s="41"/>
      <c r="DP24" s="41"/>
      <c r="DQ24" s="41"/>
      <c r="DR24" s="41"/>
      <c r="DS24" s="41"/>
      <c r="DT24" s="41"/>
      <c r="DU24" s="41"/>
      <c r="DV24" s="41"/>
      <c r="DW24" s="41"/>
      <c r="DX24" s="41"/>
      <c r="DY24" s="41"/>
      <c r="DZ24" s="41"/>
      <c r="EA24" s="41"/>
      <c r="EB24" s="41"/>
      <c r="EC24" s="41"/>
      <c r="ED24" s="41"/>
      <c r="EE24" s="41"/>
      <c r="EF24" s="41"/>
      <c r="EG24" s="41"/>
      <c r="EH24" s="41"/>
      <c r="EI24" s="41"/>
      <c r="EJ24" s="41"/>
      <c r="EK24" s="41"/>
      <c r="EL24" s="41"/>
      <c r="EM24" s="41"/>
      <c r="EN24" s="41"/>
      <c r="EO24" s="41"/>
      <c r="EP24" s="41"/>
      <c r="EQ24" s="41"/>
      <c r="ER24" s="41"/>
      <c r="ES24" s="41"/>
      <c r="ET24" s="41"/>
      <c r="EU24" s="41"/>
      <c r="EV24" s="41"/>
      <c r="EW24" s="41"/>
      <c r="EX24" s="41"/>
      <c r="EY24" s="41"/>
      <c r="EZ24" s="41"/>
      <c r="FA24" s="41"/>
      <c r="FB24" s="41"/>
      <c r="FC24" s="41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  <c r="IX24" s="64"/>
      <c r="IY24" s="64"/>
      <c r="IZ24" s="64"/>
      <c r="JA24" s="64"/>
      <c r="JB24" s="64"/>
      <c r="JC24" s="64"/>
      <c r="JD24" s="64"/>
      <c r="JE24" s="64"/>
      <c r="JF24" s="64"/>
      <c r="JG24" s="64"/>
      <c r="JH24" s="64"/>
      <c r="JI24" s="64"/>
      <c r="JJ24" s="64"/>
      <c r="JK24" s="64"/>
      <c r="JL24" s="64"/>
      <c r="JM24" s="64"/>
      <c r="JN24" s="64"/>
      <c r="JO24" s="64"/>
      <c r="JP24" s="64"/>
      <c r="JQ24" s="64"/>
      <c r="JR24" s="64"/>
      <c r="JS24" s="64"/>
      <c r="JT24" s="64"/>
      <c r="JU24" s="64"/>
      <c r="JV24" s="64"/>
      <c r="JW24" s="64"/>
      <c r="JX24" s="64"/>
      <c r="JY24" s="64"/>
      <c r="JZ24" s="64"/>
      <c r="KA24" s="64"/>
      <c r="KB24" s="64"/>
      <c r="KC24" s="64"/>
      <c r="KD24" s="64"/>
      <c r="KE24" s="64"/>
      <c r="KF24" s="64"/>
      <c r="KG24" s="64"/>
      <c r="KH24" s="64"/>
      <c r="KI24" s="64"/>
      <c r="KJ24" s="64"/>
      <c r="KK24" s="64"/>
      <c r="KL24" s="64"/>
      <c r="KM24" s="64"/>
      <c r="KN24" s="64"/>
      <c r="KO24" s="64"/>
      <c r="KP24" s="64"/>
      <c r="KQ24" s="64"/>
      <c r="KR24" s="64"/>
      <c r="KS24" s="64"/>
    </row>
    <row r="25" spans="1:305" ht="15.75" customHeight="1" thickTop="1" x14ac:dyDescent="0.2">
      <c r="A25" s="6" t="s">
        <v>34</v>
      </c>
      <c r="I25" s="17"/>
      <c r="J25" s="17"/>
      <c r="K25" s="17"/>
      <c r="L25" s="17"/>
      <c r="M25" s="17"/>
      <c r="N25" s="17"/>
      <c r="BI25" s="1" t="s">
        <v>40</v>
      </c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</row>
    <row r="26" spans="1:305" ht="14.25" customHeight="1" x14ac:dyDescent="0.2">
      <c r="A26" s="7" t="s">
        <v>31</v>
      </c>
      <c r="C26" s="17"/>
      <c r="D26" s="17"/>
      <c r="E26" s="80"/>
      <c r="F26" s="80"/>
      <c r="G26" s="80"/>
      <c r="H26" s="80"/>
      <c r="I26" s="17"/>
      <c r="J26" s="17"/>
      <c r="K26" s="17"/>
      <c r="L26" s="17"/>
      <c r="M26" s="17"/>
      <c r="N26" s="17"/>
      <c r="AO26" s="1" t="s">
        <v>35</v>
      </c>
      <c r="BB26" s="1" t="s">
        <v>36</v>
      </c>
      <c r="BI26" s="1" t="s">
        <v>39</v>
      </c>
      <c r="FC26" s="50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</row>
    <row r="27" spans="1:305" ht="14.25" customHeight="1" x14ac:dyDescent="0.2">
      <c r="A27" s="7" t="s">
        <v>32</v>
      </c>
      <c r="I27" s="17"/>
      <c r="J27" s="17"/>
      <c r="K27" s="17"/>
      <c r="EL27" s="45" t="s">
        <v>35</v>
      </c>
      <c r="EY27" s="4"/>
      <c r="EZ27"/>
      <c r="FD27" s="1"/>
      <c r="FE27" s="1"/>
      <c r="FF27" s="27"/>
      <c r="FG27" s="27"/>
      <c r="FI27" s="1"/>
      <c r="FJ27" s="1"/>
      <c r="FK27" s="1"/>
      <c r="FL27" s="1"/>
      <c r="FN27" s="44"/>
      <c r="FO27" s="44"/>
      <c r="FP27" s="44"/>
      <c r="FQ27" s="44"/>
      <c r="FR27" s="44"/>
      <c r="FS27" s="44"/>
      <c r="FT27" s="44"/>
      <c r="FU27" s="44"/>
      <c r="FV27" s="44"/>
      <c r="FW27" s="44"/>
      <c r="FX27" s="44"/>
      <c r="FY27" s="44"/>
      <c r="FZ27" s="44"/>
      <c r="GA27" s="44"/>
      <c r="GB27" s="44"/>
      <c r="GT27" s="81"/>
      <c r="HB27" s="66"/>
      <c r="HC27" s="44"/>
      <c r="HD27" s="44"/>
      <c r="HE27" s="44"/>
      <c r="HF27" s="44"/>
      <c r="HG27" s="44"/>
      <c r="HH27" s="44"/>
      <c r="HI27" s="44"/>
      <c r="HJ27" s="44"/>
      <c r="HK27" s="44"/>
      <c r="HL27" s="44"/>
      <c r="HM27" s="44"/>
      <c r="HN27" s="44"/>
      <c r="HO27" s="44"/>
      <c r="HP27" s="44"/>
      <c r="HQ27" s="44"/>
      <c r="HR27" s="44"/>
      <c r="HS27" s="44"/>
      <c r="HT27" s="44"/>
      <c r="HU27" s="44"/>
      <c r="HV27" s="44"/>
      <c r="HW27" s="44"/>
      <c r="HX27" s="44"/>
      <c r="HY27" s="44"/>
      <c r="HZ27" s="44"/>
      <c r="IA27" s="44"/>
      <c r="IB27" s="44"/>
      <c r="IC27" s="44"/>
      <c r="ID27" s="44"/>
      <c r="IE27" s="44"/>
      <c r="IF27" s="44"/>
      <c r="IG27" s="44"/>
      <c r="IH27" s="44"/>
      <c r="II27" s="44"/>
      <c r="IJ27" s="44"/>
      <c r="IK27" s="44"/>
      <c r="IL27" s="44"/>
      <c r="IM27" s="44"/>
      <c r="IN27" s="44"/>
      <c r="IO27" s="44"/>
      <c r="IP27" s="44"/>
      <c r="IQ27" s="44"/>
      <c r="IR27" s="44"/>
      <c r="IS27" s="44"/>
      <c r="IT27" s="44"/>
      <c r="IU27" s="44"/>
      <c r="IV27" s="44"/>
      <c r="IW27" s="44"/>
      <c r="IX27" s="44"/>
      <c r="IY27" s="44"/>
      <c r="IZ27" s="44"/>
      <c r="JA27" s="44"/>
      <c r="JB27" s="44"/>
      <c r="JC27" s="44"/>
      <c r="JD27" s="44"/>
      <c r="JE27" s="44"/>
      <c r="JF27" s="44"/>
      <c r="JG27" s="44"/>
      <c r="JH27" s="44"/>
      <c r="JI27" s="44"/>
      <c r="JJ27" s="44"/>
      <c r="JK27" s="44"/>
      <c r="JL27" s="44"/>
      <c r="JM27" s="44"/>
      <c r="JN27" s="44"/>
      <c r="JO27" s="44"/>
      <c r="JP27" s="44"/>
      <c r="JQ27" s="44"/>
      <c r="JR27" s="44"/>
      <c r="JS27" s="44"/>
      <c r="JT27" s="44"/>
      <c r="JU27" s="44"/>
      <c r="JV27" s="44"/>
      <c r="JW27" s="44"/>
      <c r="JX27" s="44"/>
      <c r="JY27" s="44"/>
      <c r="JZ27" s="44"/>
      <c r="KA27" s="44"/>
      <c r="KB27" s="44"/>
      <c r="KC27" s="44"/>
      <c r="KD27" s="44"/>
      <c r="KE27" s="44"/>
      <c r="KF27" s="44"/>
      <c r="KG27" s="44"/>
      <c r="KH27" s="44"/>
      <c r="KI27" s="44"/>
      <c r="KJ27" s="44"/>
      <c r="KK27" s="44"/>
      <c r="KL27" s="44"/>
      <c r="KM27" s="44"/>
      <c r="KN27" s="44"/>
      <c r="KO27" s="44"/>
      <c r="KP27" s="44"/>
      <c r="KQ27" s="44"/>
      <c r="KR27" s="44"/>
      <c r="KS27" s="44"/>
    </row>
    <row r="28" spans="1:305" ht="19.5" customHeight="1" x14ac:dyDescent="0.2">
      <c r="A28" s="82"/>
      <c r="I28" s="17"/>
      <c r="J28" s="17"/>
      <c r="EF28" s="81" t="s">
        <v>44</v>
      </c>
      <c r="ER28" s="83" t="s">
        <v>44</v>
      </c>
      <c r="FG28"/>
      <c r="FH28"/>
      <c r="FK28"/>
      <c r="FT28"/>
      <c r="FU28"/>
      <c r="FV28"/>
      <c r="FX28" s="66" t="s">
        <v>45</v>
      </c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</row>
    <row r="29" spans="1:305" ht="19.5" customHeight="1" x14ac:dyDescent="0.2"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/>
      <c r="GF29"/>
      <c r="GG29"/>
      <c r="GH29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</row>
    <row r="30" spans="1:305" ht="18" customHeight="1" x14ac:dyDescent="0.2"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/>
      <c r="GF30"/>
      <c r="GG30"/>
      <c r="GH30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</row>
    <row r="31" spans="1:305" ht="17.25" customHeight="1" x14ac:dyDescent="0.25"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84"/>
      <c r="BL31" s="27"/>
      <c r="BM31" s="27"/>
      <c r="BN31" s="27"/>
      <c r="BO31" s="27"/>
      <c r="BP31" s="27"/>
      <c r="BQ31" s="27"/>
      <c r="BR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85"/>
      <c r="GJ31" s="27"/>
      <c r="GP31" s="27"/>
      <c r="GQ31" s="27"/>
      <c r="GT31" s="86"/>
      <c r="GU31" s="86"/>
      <c r="GV31" s="86"/>
      <c r="GW31" s="86"/>
      <c r="GX31" s="86"/>
      <c r="GY31" s="86"/>
      <c r="GZ31" s="86"/>
      <c r="HA31" s="86"/>
      <c r="HB31" s="86"/>
      <c r="HC31" s="86"/>
      <c r="HD31" s="86"/>
      <c r="HE31" s="86"/>
      <c r="HF31" s="86"/>
      <c r="HG31" s="86"/>
      <c r="HH31" s="86"/>
      <c r="HI31" s="86"/>
      <c r="HJ31" s="86"/>
      <c r="HK31" s="86"/>
      <c r="HL31" s="86"/>
      <c r="HM31" s="86"/>
      <c r="HN31" s="86"/>
      <c r="HO31" s="86"/>
      <c r="HP31" s="86"/>
      <c r="HQ31" s="86"/>
      <c r="HR31" s="86"/>
      <c r="HS31" s="86"/>
      <c r="HT31" s="86"/>
      <c r="HU31" s="86"/>
      <c r="HV31" s="86"/>
      <c r="HW31" s="86"/>
      <c r="HX31" s="86"/>
      <c r="HY31" s="86"/>
      <c r="HZ31" s="86"/>
      <c r="IA31" s="86"/>
      <c r="IB31" s="86"/>
      <c r="IC31" s="86"/>
      <c r="ID31" s="86"/>
      <c r="IE31" s="86"/>
      <c r="IF31" s="86"/>
      <c r="IG31" s="86"/>
      <c r="IH31" s="86"/>
      <c r="II31" s="86"/>
      <c r="IJ31" s="86"/>
      <c r="IK31" s="86"/>
      <c r="IL31" s="86"/>
      <c r="IM31" s="86"/>
      <c r="IN31" s="86"/>
      <c r="IO31" s="86"/>
      <c r="IP31" s="86"/>
      <c r="IQ31" s="86"/>
      <c r="IR31" s="86"/>
      <c r="IS31" s="86"/>
      <c r="IT31" s="86"/>
      <c r="IU31" s="86"/>
      <c r="IV31" s="86"/>
      <c r="IW31" s="86"/>
      <c r="IX31" s="86"/>
      <c r="IY31" s="86"/>
      <c r="IZ31" s="86"/>
      <c r="JA31" s="86"/>
      <c r="JB31" s="86"/>
      <c r="JC31" s="86"/>
      <c r="JD31" s="86"/>
      <c r="JE31" s="86"/>
      <c r="JF31" s="86"/>
      <c r="JG31" s="86"/>
      <c r="JH31" s="86"/>
      <c r="JI31" s="86"/>
      <c r="JJ31" s="86"/>
      <c r="JK31" s="86"/>
      <c r="JL31" s="86"/>
      <c r="JM31" s="86"/>
      <c r="JN31" s="86"/>
      <c r="JO31" s="86"/>
      <c r="JP31" s="86"/>
      <c r="JQ31" s="86"/>
      <c r="JR31" s="86"/>
      <c r="JS31" s="86"/>
      <c r="JT31" s="86"/>
      <c r="JU31" s="86"/>
      <c r="JV31" s="86"/>
      <c r="JW31" s="86"/>
      <c r="JX31" s="86"/>
      <c r="JY31" s="86"/>
      <c r="JZ31" s="86"/>
      <c r="KA31" s="86"/>
      <c r="KB31" s="86"/>
      <c r="KC31" s="86"/>
      <c r="KD31" s="86"/>
      <c r="KE31" s="86"/>
      <c r="KF31" s="86"/>
      <c r="KG31" s="86"/>
      <c r="KH31" s="86"/>
      <c r="KI31" s="86"/>
      <c r="KJ31" s="86"/>
      <c r="KK31" s="86"/>
      <c r="KL31" s="86"/>
      <c r="KM31" s="86"/>
      <c r="KN31" s="86"/>
      <c r="KO31" s="86"/>
      <c r="KP31" s="86"/>
      <c r="KQ31" s="86"/>
      <c r="KR31" s="86"/>
      <c r="KS31" s="86"/>
    </row>
    <row r="32" spans="1:305" ht="18" customHeight="1" x14ac:dyDescent="0.2">
      <c r="FA32" s="1" t="s">
        <v>46</v>
      </c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/>
      <c r="GF32"/>
      <c r="GG32"/>
      <c r="GH32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</row>
    <row r="33" spans="60:305" ht="18" customHeight="1" x14ac:dyDescent="0.2"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/>
      <c r="GF33"/>
      <c r="GG33"/>
      <c r="GH33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</row>
    <row r="34" spans="60:305" ht="18" customHeight="1" x14ac:dyDescent="0.2"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 t="s">
        <v>47</v>
      </c>
      <c r="FY34" s="1"/>
      <c r="FZ34" s="1"/>
      <c r="GA34" s="1"/>
      <c r="GB34" s="1"/>
      <c r="GC34" s="1"/>
      <c r="GD34" s="1"/>
      <c r="GE34"/>
      <c r="GF34"/>
      <c r="GG34"/>
      <c r="GH34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</row>
    <row r="35" spans="60:305" ht="18" customHeight="1" x14ac:dyDescent="0.2"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/>
      <c r="GF35"/>
      <c r="GG35"/>
      <c r="GH35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</row>
    <row r="36" spans="60:305" ht="18" customHeight="1" x14ac:dyDescent="0.2">
      <c r="BH36" s="1">
        <f>((BL8/AN8)-1)*100+100</f>
        <v>110.22907900888265</v>
      </c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/>
      <c r="GF36"/>
      <c r="GG36"/>
      <c r="GH36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</row>
    <row r="37" spans="60:305" ht="18" customHeight="1" x14ac:dyDescent="0.2"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/>
      <c r="GF37"/>
      <c r="GG37"/>
      <c r="GH37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</row>
    <row r="38" spans="60:305" ht="18" customHeight="1" x14ac:dyDescent="0.2"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/>
      <c r="GF38"/>
      <c r="GG38"/>
      <c r="GH38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</row>
    <row r="39" spans="60:305" ht="18" customHeight="1" x14ac:dyDescent="0.2"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/>
      <c r="GF39"/>
      <c r="GG39"/>
      <c r="GH39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</row>
    <row r="40" spans="60:305" ht="18" customHeight="1" x14ac:dyDescent="0.2"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/>
      <c r="GF40"/>
      <c r="GG40"/>
      <c r="GH40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</row>
    <row r="41" spans="60:305" ht="18" customHeight="1" x14ac:dyDescent="0.2"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/>
      <c r="GF41"/>
      <c r="GG41"/>
      <c r="GH4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</row>
    <row r="42" spans="60:305" ht="18" customHeight="1" x14ac:dyDescent="0.2"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/>
      <c r="GF42"/>
      <c r="GG42"/>
      <c r="GH42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</row>
    <row r="43" spans="60:305" ht="18" customHeight="1" x14ac:dyDescent="0.2"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/>
      <c r="GF43"/>
      <c r="GG43"/>
      <c r="GH43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</row>
    <row r="44" spans="60:305" ht="18" customHeight="1" x14ac:dyDescent="0.2"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/>
      <c r="GF44"/>
      <c r="GG44"/>
      <c r="GH44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</row>
    <row r="45" spans="60:305" ht="18" customHeight="1" x14ac:dyDescent="0.2"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/>
      <c r="GF45"/>
      <c r="GG45"/>
      <c r="GH45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</row>
    <row r="46" spans="60:305" ht="18" customHeight="1" x14ac:dyDescent="0.2"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/>
      <c r="GF46"/>
      <c r="GG46"/>
      <c r="GH46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</row>
    <row r="47" spans="60:305" ht="18" customHeight="1" x14ac:dyDescent="0.2"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/>
      <c r="GF47"/>
      <c r="GG47"/>
      <c r="GH47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</row>
    <row r="48" spans="60:305" ht="18" customHeight="1" x14ac:dyDescent="0.2"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/>
      <c r="GF48"/>
      <c r="GG48"/>
      <c r="GH48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</row>
    <row r="49" spans="187:190" s="1" customFormat="1" ht="18" customHeight="1" x14ac:dyDescent="0.2">
      <c r="GE49"/>
      <c r="GF49"/>
      <c r="GG49"/>
      <c r="GH49"/>
    </row>
    <row r="50" spans="187:190" s="1" customFormat="1" ht="18" customHeight="1" x14ac:dyDescent="0.2">
      <c r="GE50"/>
      <c r="GF50"/>
      <c r="GG50"/>
      <c r="GH50"/>
    </row>
    <row r="51" spans="187:190" s="1" customFormat="1" ht="18" customHeight="1" x14ac:dyDescent="0.2">
      <c r="GE51"/>
      <c r="GF51"/>
      <c r="GG51"/>
      <c r="GH51"/>
    </row>
    <row r="52" spans="187:190" s="1" customFormat="1" ht="18" customHeight="1" x14ac:dyDescent="0.2">
      <c r="GE52"/>
      <c r="GF52"/>
      <c r="GG52"/>
      <c r="GH52"/>
    </row>
    <row r="53" spans="187:190" s="1" customFormat="1" ht="18" customHeight="1" x14ac:dyDescent="0.2">
      <c r="GE53"/>
      <c r="GF53"/>
      <c r="GG53"/>
      <c r="GH53"/>
    </row>
    <row r="54" spans="187:190" s="1" customFormat="1" ht="18" customHeight="1" x14ac:dyDescent="0.2">
      <c r="GE54"/>
      <c r="GF54"/>
      <c r="GG54"/>
      <c r="GH54"/>
    </row>
    <row r="55" spans="187:190" s="1" customFormat="1" ht="18" customHeight="1" x14ac:dyDescent="0.2">
      <c r="GE55"/>
      <c r="GF55"/>
      <c r="GG55"/>
      <c r="GH55"/>
    </row>
    <row r="56" spans="187:190" s="1" customFormat="1" ht="18" customHeight="1" x14ac:dyDescent="0.2">
      <c r="GE56"/>
      <c r="GF56"/>
      <c r="GG56"/>
      <c r="GH56"/>
    </row>
    <row r="57" spans="187:190" s="1" customFormat="1" ht="18" customHeight="1" x14ac:dyDescent="0.2">
      <c r="GE57"/>
      <c r="GF57"/>
      <c r="GG57"/>
      <c r="GH57"/>
    </row>
    <row r="58" spans="187:190" s="1" customFormat="1" ht="18" customHeight="1" x14ac:dyDescent="0.2">
      <c r="GE58"/>
      <c r="GF58"/>
      <c r="GG58"/>
      <c r="GH58"/>
    </row>
    <row r="59" spans="187:190" s="1" customFormat="1" ht="18" customHeight="1" x14ac:dyDescent="0.2">
      <c r="GE59"/>
      <c r="GF59"/>
      <c r="GG59"/>
      <c r="GH59"/>
    </row>
    <row r="60" spans="187:190" s="1" customFormat="1" ht="18" customHeight="1" x14ac:dyDescent="0.2">
      <c r="GE60"/>
      <c r="GF60"/>
      <c r="GG60"/>
      <c r="GH60"/>
    </row>
    <row r="61" spans="187:190" s="1" customFormat="1" ht="18" customHeight="1" x14ac:dyDescent="0.2">
      <c r="GE61"/>
      <c r="GF61"/>
      <c r="GG61"/>
      <c r="GH61"/>
    </row>
    <row r="62" spans="187:190" s="1" customFormat="1" ht="18" customHeight="1" x14ac:dyDescent="0.2">
      <c r="GE62"/>
      <c r="GF62"/>
      <c r="GG62"/>
      <c r="GH62"/>
    </row>
    <row r="63" spans="187:190" s="1" customFormat="1" ht="18" customHeight="1" x14ac:dyDescent="0.2">
      <c r="GE63"/>
      <c r="GF63"/>
      <c r="GG63"/>
      <c r="GH63"/>
    </row>
    <row r="64" spans="187:190" s="1" customFormat="1" ht="18" customHeight="1" x14ac:dyDescent="0.2">
      <c r="GE64"/>
      <c r="GF64"/>
      <c r="GG64"/>
      <c r="GH64"/>
    </row>
    <row r="65" spans="187:190" s="1" customFormat="1" ht="18" customHeight="1" x14ac:dyDescent="0.2">
      <c r="GE65"/>
      <c r="GF65"/>
      <c r="GG65"/>
      <c r="GH65"/>
    </row>
    <row r="66" spans="187:190" s="1" customFormat="1" ht="18" customHeight="1" x14ac:dyDescent="0.2">
      <c r="GE66"/>
      <c r="GF66"/>
      <c r="GG66"/>
      <c r="GH66"/>
    </row>
    <row r="67" spans="187:190" s="1" customFormat="1" ht="18" customHeight="1" x14ac:dyDescent="0.2">
      <c r="GE67"/>
      <c r="GF67"/>
      <c r="GG67"/>
      <c r="GH67"/>
    </row>
    <row r="68" spans="187:190" s="1" customFormat="1" ht="18" customHeight="1" x14ac:dyDescent="0.2">
      <c r="GE68"/>
      <c r="GF68"/>
      <c r="GG68"/>
      <c r="GH68"/>
    </row>
    <row r="69" spans="187:190" s="1" customFormat="1" ht="18" customHeight="1" x14ac:dyDescent="0.2">
      <c r="GE69"/>
      <c r="GF69"/>
      <c r="GG69"/>
      <c r="GH69"/>
    </row>
    <row r="70" spans="187:190" s="1" customFormat="1" ht="18" customHeight="1" x14ac:dyDescent="0.2">
      <c r="GE70"/>
      <c r="GF70"/>
      <c r="GG70"/>
      <c r="GH70"/>
    </row>
    <row r="71" spans="187:190" s="1" customFormat="1" ht="18" customHeight="1" x14ac:dyDescent="0.2">
      <c r="GE71"/>
      <c r="GF71"/>
      <c r="GG71"/>
      <c r="GH71"/>
    </row>
    <row r="72" spans="187:190" s="1" customFormat="1" ht="18" customHeight="1" x14ac:dyDescent="0.2">
      <c r="GE72"/>
      <c r="GF72"/>
      <c r="GG72"/>
      <c r="GH72"/>
    </row>
    <row r="73" spans="187:190" s="1" customFormat="1" ht="18" customHeight="1" x14ac:dyDescent="0.2">
      <c r="GE73"/>
      <c r="GF73"/>
      <c r="GG73"/>
      <c r="GH73"/>
    </row>
    <row r="74" spans="187:190" s="1" customFormat="1" ht="18" customHeight="1" x14ac:dyDescent="0.2">
      <c r="GE74"/>
      <c r="GF74"/>
      <c r="GG74"/>
      <c r="GH74"/>
    </row>
    <row r="75" spans="187:190" s="1" customFormat="1" ht="18" customHeight="1" x14ac:dyDescent="0.2">
      <c r="GE75"/>
      <c r="GF75"/>
      <c r="GG75"/>
      <c r="GH75"/>
    </row>
    <row r="76" spans="187:190" s="1" customFormat="1" ht="18" customHeight="1" x14ac:dyDescent="0.2">
      <c r="GE76"/>
      <c r="GF76"/>
      <c r="GG76"/>
      <c r="GH76"/>
    </row>
    <row r="77" spans="187:190" s="1" customFormat="1" ht="18" customHeight="1" x14ac:dyDescent="0.2">
      <c r="GE77"/>
      <c r="GF77"/>
      <c r="GG77"/>
      <c r="GH77"/>
    </row>
    <row r="78" spans="187:190" s="1" customFormat="1" ht="18" customHeight="1" x14ac:dyDescent="0.2">
      <c r="GE78"/>
      <c r="GF78"/>
      <c r="GG78"/>
      <c r="GH78"/>
    </row>
    <row r="79" spans="187:190" s="1" customFormat="1" ht="18" customHeight="1" x14ac:dyDescent="0.2">
      <c r="GE79"/>
      <c r="GF79"/>
      <c r="GG79"/>
      <c r="GH79"/>
    </row>
    <row r="80" spans="187:190" s="1" customFormat="1" ht="18" customHeight="1" x14ac:dyDescent="0.2">
      <c r="GE80"/>
      <c r="GF80"/>
      <c r="GG80"/>
      <c r="GH80"/>
    </row>
    <row r="81" spans="187:190" s="1" customFormat="1" ht="18" customHeight="1" x14ac:dyDescent="0.2">
      <c r="GE81"/>
      <c r="GF81"/>
      <c r="GG81"/>
      <c r="GH81"/>
    </row>
    <row r="82" spans="187:190" s="1" customFormat="1" ht="18" customHeight="1" x14ac:dyDescent="0.2">
      <c r="GE82"/>
      <c r="GF82"/>
      <c r="GG82"/>
      <c r="GH82"/>
    </row>
    <row r="83" spans="187:190" s="1" customFormat="1" ht="18" customHeight="1" x14ac:dyDescent="0.2">
      <c r="GE83"/>
      <c r="GF83"/>
      <c r="GG83"/>
      <c r="GH83"/>
    </row>
    <row r="84" spans="187:190" s="1" customFormat="1" ht="18" customHeight="1" x14ac:dyDescent="0.2">
      <c r="GE84"/>
      <c r="GF84"/>
      <c r="GG84"/>
      <c r="GH84"/>
    </row>
    <row r="85" spans="187:190" s="1" customFormat="1" ht="18" customHeight="1" x14ac:dyDescent="0.2">
      <c r="GE85"/>
      <c r="GF85"/>
      <c r="GG85"/>
      <c r="GH85"/>
    </row>
    <row r="86" spans="187:190" s="1" customFormat="1" ht="18" customHeight="1" x14ac:dyDescent="0.2">
      <c r="GE86"/>
      <c r="GF86"/>
      <c r="GG86"/>
      <c r="GH86"/>
    </row>
    <row r="87" spans="187:190" s="1" customFormat="1" ht="18" customHeight="1" x14ac:dyDescent="0.2">
      <c r="GE87"/>
      <c r="GF87"/>
      <c r="GG87"/>
      <c r="GH87"/>
    </row>
    <row r="88" spans="187:190" s="1" customFormat="1" ht="18" customHeight="1" x14ac:dyDescent="0.2">
      <c r="GE88"/>
      <c r="GF88"/>
      <c r="GG88"/>
      <c r="GH88"/>
    </row>
    <row r="89" spans="187:190" s="1" customFormat="1" ht="18" customHeight="1" x14ac:dyDescent="0.2">
      <c r="GE89"/>
      <c r="GF89"/>
      <c r="GG89"/>
      <c r="GH89"/>
    </row>
    <row r="90" spans="187:190" s="1" customFormat="1" ht="18" customHeight="1" x14ac:dyDescent="0.2">
      <c r="GE90"/>
      <c r="GF90"/>
      <c r="GG90"/>
      <c r="GH90"/>
    </row>
    <row r="91" spans="187:190" s="1" customFormat="1" ht="18" customHeight="1" x14ac:dyDescent="0.2">
      <c r="GE91"/>
      <c r="GF91"/>
      <c r="GG91"/>
      <c r="GH91"/>
    </row>
    <row r="92" spans="187:190" s="1" customFormat="1" ht="18" customHeight="1" x14ac:dyDescent="0.2">
      <c r="GE92"/>
      <c r="GF92"/>
      <c r="GG92"/>
      <c r="GH92"/>
    </row>
    <row r="93" spans="187:190" s="1" customFormat="1" ht="18" customHeight="1" x14ac:dyDescent="0.2">
      <c r="GE93"/>
      <c r="GF93"/>
      <c r="GG93"/>
      <c r="GH93"/>
    </row>
    <row r="94" spans="187:190" s="1" customFormat="1" ht="18" customHeight="1" x14ac:dyDescent="0.2">
      <c r="GE94"/>
      <c r="GF94"/>
      <c r="GG94"/>
      <c r="GH94"/>
    </row>
    <row r="95" spans="187:190" s="1" customFormat="1" ht="18" customHeight="1" x14ac:dyDescent="0.2">
      <c r="GE95"/>
      <c r="GF95"/>
      <c r="GG95"/>
      <c r="GH95"/>
    </row>
    <row r="96" spans="187:190" s="1" customFormat="1" ht="18" customHeight="1" x14ac:dyDescent="0.2">
      <c r="GE96"/>
      <c r="GF96"/>
      <c r="GG96"/>
      <c r="GH96"/>
    </row>
    <row r="97" spans="187:190" s="1" customFormat="1" ht="18" customHeight="1" x14ac:dyDescent="0.2">
      <c r="GE97"/>
      <c r="GF97"/>
      <c r="GG97"/>
      <c r="GH97"/>
    </row>
    <row r="98" spans="187:190" s="1" customFormat="1" ht="18" customHeight="1" x14ac:dyDescent="0.2">
      <c r="GE98"/>
      <c r="GF98"/>
      <c r="GG98"/>
      <c r="GH98"/>
    </row>
    <row r="99" spans="187:190" s="1" customFormat="1" ht="18" customHeight="1" x14ac:dyDescent="0.2">
      <c r="GE99"/>
      <c r="GF99"/>
      <c r="GG99"/>
      <c r="GH99"/>
    </row>
    <row r="100" spans="187:190" s="1" customFormat="1" ht="18" customHeight="1" x14ac:dyDescent="0.2">
      <c r="GE100"/>
      <c r="GF100"/>
      <c r="GG100"/>
      <c r="GH100"/>
    </row>
    <row r="101" spans="187:190" s="1" customFormat="1" ht="18" customHeight="1" x14ac:dyDescent="0.2">
      <c r="GE101"/>
      <c r="GF101"/>
      <c r="GG101"/>
      <c r="GH101"/>
    </row>
    <row r="102" spans="187:190" s="1" customFormat="1" ht="18" customHeight="1" x14ac:dyDescent="0.2">
      <c r="GE102"/>
      <c r="GF102"/>
      <c r="GG102"/>
      <c r="GH102"/>
    </row>
    <row r="103" spans="187:190" s="1" customFormat="1" ht="18" customHeight="1" x14ac:dyDescent="0.2">
      <c r="GE103"/>
      <c r="GF103"/>
      <c r="GG103"/>
      <c r="GH103"/>
    </row>
    <row r="104" spans="187:190" s="1" customFormat="1" ht="18" customHeight="1" x14ac:dyDescent="0.2">
      <c r="GE104"/>
      <c r="GF104"/>
      <c r="GG104"/>
      <c r="GH104"/>
    </row>
    <row r="105" spans="187:190" s="1" customFormat="1" ht="18" customHeight="1" x14ac:dyDescent="0.2">
      <c r="GE105"/>
      <c r="GF105"/>
      <c r="GG105"/>
      <c r="GH105"/>
    </row>
    <row r="106" spans="187:190" s="1" customFormat="1" ht="18" customHeight="1" x14ac:dyDescent="0.2">
      <c r="GE106"/>
      <c r="GF106"/>
      <c r="GG106"/>
      <c r="GH106"/>
    </row>
    <row r="107" spans="187:190" s="1" customFormat="1" ht="18" customHeight="1" x14ac:dyDescent="0.2">
      <c r="GE107"/>
      <c r="GF107"/>
      <c r="GG107"/>
      <c r="GH107"/>
    </row>
    <row r="108" spans="187:190" s="1" customFormat="1" ht="18" customHeight="1" x14ac:dyDescent="0.2">
      <c r="GE108"/>
      <c r="GF108"/>
      <c r="GG108"/>
      <c r="GH108"/>
    </row>
    <row r="109" spans="187:190" s="1" customFormat="1" ht="18" customHeight="1" x14ac:dyDescent="0.2">
      <c r="GE109"/>
      <c r="GF109"/>
      <c r="GG109"/>
      <c r="GH109"/>
    </row>
    <row r="110" spans="187:190" s="1" customFormat="1" ht="18" customHeight="1" x14ac:dyDescent="0.2">
      <c r="GE110"/>
      <c r="GF110"/>
      <c r="GG110"/>
      <c r="GH110"/>
    </row>
    <row r="111" spans="187:190" s="1" customFormat="1" ht="18" customHeight="1" x14ac:dyDescent="0.2">
      <c r="GE111"/>
      <c r="GF111"/>
      <c r="GG111"/>
      <c r="GH111"/>
    </row>
    <row r="112" spans="187:190" s="1" customFormat="1" ht="18" customHeight="1" x14ac:dyDescent="0.2">
      <c r="GE112"/>
      <c r="GF112"/>
      <c r="GG112"/>
      <c r="GH112"/>
    </row>
    <row r="113" spans="187:190" s="1" customFormat="1" ht="18" customHeight="1" x14ac:dyDescent="0.2">
      <c r="GE113"/>
      <c r="GF113"/>
      <c r="GG113"/>
      <c r="GH113"/>
    </row>
    <row r="114" spans="187:190" s="1" customFormat="1" ht="18" customHeight="1" x14ac:dyDescent="0.2">
      <c r="GE114"/>
      <c r="GF114"/>
      <c r="GG114"/>
      <c r="GH114"/>
    </row>
    <row r="115" spans="187:190" s="1" customFormat="1" ht="18" customHeight="1" x14ac:dyDescent="0.2">
      <c r="GE115"/>
      <c r="GF115"/>
      <c r="GG115"/>
      <c r="GH115"/>
    </row>
    <row r="116" spans="187:190" s="1" customFormat="1" ht="18" customHeight="1" x14ac:dyDescent="0.2">
      <c r="GE116"/>
      <c r="GF116"/>
      <c r="GG116"/>
      <c r="GH116"/>
    </row>
    <row r="117" spans="187:190" s="1" customFormat="1" ht="18" customHeight="1" x14ac:dyDescent="0.2">
      <c r="GE117"/>
      <c r="GF117"/>
      <c r="GG117"/>
      <c r="GH117"/>
    </row>
    <row r="118" spans="187:190" s="1" customFormat="1" ht="18" customHeight="1" x14ac:dyDescent="0.2">
      <c r="GE118"/>
      <c r="GF118"/>
      <c r="GG118"/>
      <c r="GH118"/>
    </row>
    <row r="119" spans="187:190" s="1" customFormat="1" ht="18" customHeight="1" x14ac:dyDescent="0.2">
      <c r="GE119"/>
      <c r="GF119"/>
      <c r="GG119"/>
      <c r="GH119"/>
    </row>
    <row r="120" spans="187:190" s="1" customFormat="1" ht="18" customHeight="1" x14ac:dyDescent="0.2">
      <c r="GE120"/>
      <c r="GF120"/>
      <c r="GG120"/>
      <c r="GH120"/>
    </row>
    <row r="121" spans="187:190" s="1" customFormat="1" ht="18" customHeight="1" x14ac:dyDescent="0.2">
      <c r="GE121"/>
      <c r="GF121"/>
      <c r="GG121"/>
      <c r="GH121"/>
    </row>
    <row r="122" spans="187:190" s="1" customFormat="1" ht="18" customHeight="1" x14ac:dyDescent="0.2">
      <c r="GE122"/>
      <c r="GF122"/>
      <c r="GG122"/>
      <c r="GH122"/>
    </row>
    <row r="123" spans="187:190" s="1" customFormat="1" ht="18" customHeight="1" x14ac:dyDescent="0.2">
      <c r="GE123"/>
      <c r="GF123"/>
      <c r="GG123"/>
      <c r="GH123"/>
    </row>
    <row r="124" spans="187:190" s="1" customFormat="1" ht="18" customHeight="1" x14ac:dyDescent="0.2">
      <c r="GE124"/>
      <c r="GF124"/>
      <c r="GG124"/>
      <c r="GH124"/>
    </row>
    <row r="125" spans="187:190" s="1" customFormat="1" ht="18" customHeight="1" x14ac:dyDescent="0.2">
      <c r="GE125"/>
      <c r="GF125"/>
      <c r="GG125"/>
      <c r="GH125"/>
    </row>
    <row r="126" spans="187:190" s="1" customFormat="1" ht="18" customHeight="1" x14ac:dyDescent="0.2">
      <c r="GE126"/>
      <c r="GF126"/>
      <c r="GG126"/>
      <c r="GH126"/>
    </row>
    <row r="127" spans="187:190" s="1" customFormat="1" ht="18" customHeight="1" x14ac:dyDescent="0.2">
      <c r="GE127"/>
      <c r="GF127"/>
      <c r="GG127"/>
      <c r="GH127"/>
    </row>
    <row r="128" spans="187:190" s="1" customFormat="1" ht="18" customHeight="1" x14ac:dyDescent="0.2">
      <c r="GE128"/>
      <c r="GF128"/>
      <c r="GG128"/>
      <c r="GH128"/>
    </row>
    <row r="129" spans="187:190" s="1" customFormat="1" ht="18" customHeight="1" x14ac:dyDescent="0.2">
      <c r="GE129"/>
      <c r="GF129"/>
      <c r="GG129"/>
      <c r="GH129"/>
    </row>
    <row r="130" spans="187:190" s="1" customFormat="1" ht="18" customHeight="1" x14ac:dyDescent="0.2">
      <c r="GE130"/>
      <c r="GF130"/>
      <c r="GG130"/>
      <c r="GH130"/>
    </row>
    <row r="131" spans="187:190" s="1" customFormat="1" ht="18" customHeight="1" x14ac:dyDescent="0.2">
      <c r="GE131"/>
      <c r="GF131"/>
      <c r="GG131"/>
      <c r="GH131"/>
    </row>
    <row r="132" spans="187:190" s="1" customFormat="1" ht="18" customHeight="1" x14ac:dyDescent="0.2">
      <c r="GE132"/>
      <c r="GF132"/>
      <c r="GG132"/>
      <c r="GH132"/>
    </row>
    <row r="133" spans="187:190" s="1" customFormat="1" ht="18" customHeight="1" x14ac:dyDescent="0.2">
      <c r="GE133"/>
      <c r="GF133"/>
      <c r="GG133"/>
      <c r="GH133"/>
    </row>
    <row r="134" spans="187:190" s="1" customFormat="1" ht="18" customHeight="1" x14ac:dyDescent="0.2">
      <c r="GE134"/>
      <c r="GF134"/>
      <c r="GG134"/>
      <c r="GH134"/>
    </row>
    <row r="135" spans="187:190" s="1" customFormat="1" ht="18" customHeight="1" x14ac:dyDescent="0.2">
      <c r="GE135"/>
      <c r="GF135"/>
      <c r="GG135"/>
      <c r="GH135"/>
    </row>
    <row r="136" spans="187:190" s="1" customFormat="1" ht="18" customHeight="1" x14ac:dyDescent="0.2">
      <c r="GE136"/>
      <c r="GF136"/>
      <c r="GG136"/>
      <c r="GH136"/>
    </row>
    <row r="137" spans="187:190" s="1" customFormat="1" ht="18" customHeight="1" x14ac:dyDescent="0.2">
      <c r="GE137"/>
      <c r="GF137"/>
      <c r="GG137"/>
      <c r="GH137"/>
    </row>
    <row r="138" spans="187:190" s="1" customFormat="1" ht="18" customHeight="1" x14ac:dyDescent="0.2">
      <c r="GE138"/>
      <c r="GF138"/>
      <c r="GG138"/>
      <c r="GH138"/>
    </row>
    <row r="139" spans="187:190" s="1" customFormat="1" ht="18" customHeight="1" x14ac:dyDescent="0.2">
      <c r="GE139"/>
      <c r="GF139"/>
      <c r="GG139"/>
      <c r="GH139"/>
    </row>
    <row r="140" spans="187:190" s="1" customFormat="1" ht="18" customHeight="1" x14ac:dyDescent="0.2">
      <c r="GE140"/>
      <c r="GF140"/>
      <c r="GG140"/>
      <c r="GH140"/>
    </row>
    <row r="141" spans="187:190" s="1" customFormat="1" ht="18" customHeight="1" x14ac:dyDescent="0.2">
      <c r="GE141"/>
      <c r="GF141"/>
      <c r="GG141"/>
      <c r="GH141"/>
    </row>
    <row r="142" spans="187:190" s="1" customFormat="1" ht="18" customHeight="1" x14ac:dyDescent="0.2">
      <c r="GE142"/>
      <c r="GF142"/>
      <c r="GG142"/>
      <c r="GH142"/>
    </row>
    <row r="143" spans="187:190" s="1" customFormat="1" ht="18" customHeight="1" x14ac:dyDescent="0.2">
      <c r="GE143"/>
      <c r="GF143"/>
      <c r="GG143"/>
      <c r="GH143"/>
    </row>
    <row r="144" spans="187:190" s="1" customFormat="1" ht="18" customHeight="1" x14ac:dyDescent="0.2">
      <c r="GE144"/>
      <c r="GF144"/>
      <c r="GG144"/>
      <c r="GH144"/>
    </row>
    <row r="145" spans="187:190" s="1" customFormat="1" ht="18" customHeight="1" x14ac:dyDescent="0.2">
      <c r="GE145"/>
      <c r="GF145"/>
      <c r="GG145"/>
      <c r="GH145"/>
    </row>
    <row r="146" spans="187:190" s="1" customFormat="1" ht="18" customHeight="1" x14ac:dyDescent="0.2">
      <c r="GE146"/>
      <c r="GF146"/>
      <c r="GG146"/>
      <c r="GH146"/>
    </row>
    <row r="147" spans="187:190" s="1" customFormat="1" ht="18" customHeight="1" x14ac:dyDescent="0.2">
      <c r="GE147"/>
      <c r="GF147"/>
      <c r="GG147"/>
      <c r="GH147"/>
    </row>
    <row r="148" spans="187:190" s="1" customFormat="1" ht="18" customHeight="1" x14ac:dyDescent="0.2">
      <c r="GE148"/>
      <c r="GF148"/>
      <c r="GG148"/>
      <c r="GH148"/>
    </row>
    <row r="149" spans="187:190" s="1" customFormat="1" ht="18" customHeight="1" x14ac:dyDescent="0.2">
      <c r="GE149"/>
      <c r="GF149"/>
      <c r="GG149"/>
      <c r="GH149"/>
    </row>
    <row r="150" spans="187:190" s="1" customFormat="1" ht="18" customHeight="1" x14ac:dyDescent="0.2">
      <c r="GE150"/>
      <c r="GF150"/>
      <c r="GG150"/>
      <c r="GH150"/>
    </row>
    <row r="151" spans="187:190" s="1" customFormat="1" ht="18" customHeight="1" x14ac:dyDescent="0.2">
      <c r="GE151"/>
      <c r="GF151"/>
      <c r="GG151"/>
      <c r="GH151"/>
    </row>
    <row r="152" spans="187:190" s="1" customFormat="1" ht="18" customHeight="1" x14ac:dyDescent="0.2">
      <c r="GE152"/>
      <c r="GF152"/>
      <c r="GG152"/>
      <c r="GH152"/>
    </row>
    <row r="153" spans="187:190" s="1" customFormat="1" ht="18" customHeight="1" x14ac:dyDescent="0.2">
      <c r="GE153"/>
      <c r="GF153"/>
      <c r="GG153"/>
      <c r="GH153"/>
    </row>
    <row r="154" spans="187:190" s="1" customFormat="1" ht="18" customHeight="1" x14ac:dyDescent="0.2">
      <c r="GE154"/>
      <c r="GF154"/>
      <c r="GG154"/>
      <c r="GH154"/>
    </row>
    <row r="155" spans="187:190" s="1" customFormat="1" ht="18" customHeight="1" x14ac:dyDescent="0.2">
      <c r="GE155"/>
      <c r="GF155"/>
      <c r="GG155"/>
      <c r="GH155"/>
    </row>
    <row r="156" spans="187:190" s="1" customFormat="1" ht="18" customHeight="1" x14ac:dyDescent="0.2">
      <c r="GE156"/>
      <c r="GF156"/>
      <c r="GG156"/>
      <c r="GH156"/>
    </row>
    <row r="157" spans="187:190" s="1" customFormat="1" ht="18" customHeight="1" x14ac:dyDescent="0.2">
      <c r="GE157"/>
      <c r="GF157"/>
      <c r="GG157"/>
      <c r="GH157"/>
    </row>
    <row r="158" spans="187:190" s="1" customFormat="1" ht="18" customHeight="1" x14ac:dyDescent="0.2">
      <c r="GE158"/>
      <c r="GF158"/>
      <c r="GG158"/>
      <c r="GH158"/>
    </row>
    <row r="159" spans="187:190" s="1" customFormat="1" ht="18" customHeight="1" x14ac:dyDescent="0.2">
      <c r="GE159"/>
      <c r="GF159"/>
      <c r="GG159"/>
      <c r="GH159"/>
    </row>
    <row r="160" spans="187:190" s="1" customFormat="1" ht="18" customHeight="1" x14ac:dyDescent="0.2">
      <c r="GE160"/>
      <c r="GF160"/>
      <c r="GG160"/>
      <c r="GH160"/>
    </row>
    <row r="161" spans="187:190" s="1" customFormat="1" ht="18" customHeight="1" x14ac:dyDescent="0.2">
      <c r="GE161"/>
      <c r="GF161"/>
      <c r="GG161"/>
      <c r="GH161"/>
    </row>
    <row r="162" spans="187:190" s="1" customFormat="1" ht="18" customHeight="1" x14ac:dyDescent="0.2">
      <c r="GE162"/>
      <c r="GF162"/>
      <c r="GG162"/>
      <c r="GH162"/>
    </row>
    <row r="163" spans="187:190" s="1" customFormat="1" ht="18" customHeight="1" x14ac:dyDescent="0.2">
      <c r="GE163"/>
      <c r="GF163"/>
      <c r="GG163"/>
      <c r="GH163"/>
    </row>
    <row r="164" spans="187:190" s="1" customFormat="1" ht="18" customHeight="1" x14ac:dyDescent="0.2">
      <c r="GE164"/>
      <c r="GF164"/>
      <c r="GG164"/>
      <c r="GH164"/>
    </row>
    <row r="165" spans="187:190" s="1" customFormat="1" ht="18" customHeight="1" x14ac:dyDescent="0.2">
      <c r="GE165"/>
      <c r="GF165"/>
      <c r="GG165"/>
      <c r="GH165"/>
    </row>
    <row r="166" spans="187:190" s="1" customFormat="1" ht="18" customHeight="1" x14ac:dyDescent="0.2">
      <c r="GE166"/>
      <c r="GF166"/>
      <c r="GG166"/>
      <c r="GH166"/>
    </row>
    <row r="167" spans="187:190" s="1" customFormat="1" ht="18" customHeight="1" x14ac:dyDescent="0.2">
      <c r="GE167"/>
      <c r="GF167"/>
      <c r="GG167"/>
      <c r="GH167"/>
    </row>
    <row r="168" spans="187:190" s="1" customFormat="1" ht="18" customHeight="1" x14ac:dyDescent="0.2">
      <c r="GE168"/>
      <c r="GF168"/>
      <c r="GG168"/>
      <c r="GH168"/>
    </row>
    <row r="169" spans="187:190" s="1" customFormat="1" ht="18" customHeight="1" x14ac:dyDescent="0.2">
      <c r="GE169"/>
      <c r="GF169"/>
      <c r="GG169"/>
      <c r="GH169"/>
    </row>
    <row r="170" spans="187:190" s="1" customFormat="1" ht="18" customHeight="1" x14ac:dyDescent="0.2">
      <c r="GE170"/>
      <c r="GF170"/>
      <c r="GG170"/>
      <c r="GH170"/>
    </row>
    <row r="171" spans="187:190" s="1" customFormat="1" ht="18" customHeight="1" x14ac:dyDescent="0.2">
      <c r="GE171"/>
      <c r="GF171"/>
      <c r="GG171"/>
      <c r="GH171"/>
    </row>
    <row r="172" spans="187:190" s="1" customFormat="1" ht="18" customHeight="1" x14ac:dyDescent="0.2">
      <c r="GE172"/>
      <c r="GF172"/>
      <c r="GG172"/>
      <c r="GH172"/>
    </row>
    <row r="173" spans="187:190" s="1" customFormat="1" ht="18" customHeight="1" x14ac:dyDescent="0.2">
      <c r="GE173"/>
      <c r="GF173"/>
      <c r="GG173"/>
      <c r="GH173"/>
    </row>
    <row r="174" spans="187:190" s="1" customFormat="1" ht="18" customHeight="1" x14ac:dyDescent="0.2">
      <c r="GE174"/>
      <c r="GF174"/>
      <c r="GG174"/>
      <c r="GH174"/>
    </row>
    <row r="175" spans="187:190" s="1" customFormat="1" ht="18" customHeight="1" x14ac:dyDescent="0.2">
      <c r="GE175"/>
      <c r="GF175"/>
      <c r="GG175"/>
      <c r="GH175"/>
    </row>
    <row r="176" spans="187:190" s="1" customFormat="1" ht="18" customHeight="1" x14ac:dyDescent="0.2">
      <c r="GE176"/>
      <c r="GF176"/>
      <c r="GG176"/>
      <c r="GH176"/>
    </row>
    <row r="177" spans="187:190" s="1" customFormat="1" ht="18" customHeight="1" x14ac:dyDescent="0.2">
      <c r="GE177"/>
      <c r="GF177"/>
      <c r="GG177"/>
      <c r="GH177"/>
    </row>
    <row r="178" spans="187:190" s="1" customFormat="1" ht="18" customHeight="1" x14ac:dyDescent="0.2">
      <c r="GE178"/>
      <c r="GF178"/>
      <c r="GG178"/>
      <c r="GH178"/>
    </row>
    <row r="179" spans="187:190" s="1" customFormat="1" ht="18" customHeight="1" x14ac:dyDescent="0.2">
      <c r="GE179"/>
      <c r="GF179"/>
      <c r="GG179"/>
      <c r="GH179"/>
    </row>
    <row r="180" spans="187:190" s="1" customFormat="1" ht="18" customHeight="1" x14ac:dyDescent="0.2">
      <c r="GE180"/>
      <c r="GF180"/>
      <c r="GG180"/>
      <c r="GH180"/>
    </row>
    <row r="181" spans="187:190" s="1" customFormat="1" ht="18" customHeight="1" x14ac:dyDescent="0.2">
      <c r="GE181"/>
      <c r="GF181"/>
      <c r="GG181"/>
      <c r="GH181"/>
    </row>
    <row r="182" spans="187:190" s="1" customFormat="1" ht="18" customHeight="1" x14ac:dyDescent="0.2">
      <c r="GE182"/>
      <c r="GF182"/>
      <c r="GG182"/>
      <c r="GH182"/>
    </row>
    <row r="183" spans="187:190" s="1" customFormat="1" ht="18" customHeight="1" x14ac:dyDescent="0.2">
      <c r="GE183"/>
      <c r="GF183"/>
      <c r="GG183"/>
      <c r="GH183"/>
    </row>
    <row r="184" spans="187:190" s="1" customFormat="1" ht="18" customHeight="1" x14ac:dyDescent="0.2">
      <c r="GE184"/>
      <c r="GF184"/>
      <c r="GG184"/>
      <c r="GH184"/>
    </row>
    <row r="185" spans="187:190" s="1" customFormat="1" ht="18" customHeight="1" x14ac:dyDescent="0.2">
      <c r="GE185"/>
      <c r="GF185"/>
      <c r="GG185"/>
      <c r="GH185"/>
    </row>
    <row r="186" spans="187:190" s="1" customFormat="1" ht="18" customHeight="1" x14ac:dyDescent="0.2">
      <c r="GE186"/>
      <c r="GF186"/>
      <c r="GG186"/>
      <c r="GH186"/>
    </row>
    <row r="187" spans="187:190" s="1" customFormat="1" ht="18" customHeight="1" x14ac:dyDescent="0.2">
      <c r="GE187"/>
      <c r="GF187"/>
      <c r="GG187"/>
      <c r="GH187"/>
    </row>
    <row r="188" spans="187:190" s="1" customFormat="1" ht="18" customHeight="1" x14ac:dyDescent="0.2">
      <c r="GE188"/>
      <c r="GF188"/>
      <c r="GG188"/>
      <c r="GH188"/>
    </row>
    <row r="189" spans="187:190" s="1" customFormat="1" ht="18" customHeight="1" x14ac:dyDescent="0.2">
      <c r="GE189"/>
      <c r="GF189"/>
      <c r="GG189"/>
      <c r="GH189"/>
    </row>
    <row r="190" spans="187:190" s="1" customFormat="1" ht="18" customHeight="1" x14ac:dyDescent="0.2">
      <c r="GE190"/>
      <c r="GF190"/>
      <c r="GG190"/>
      <c r="GH190"/>
    </row>
    <row r="191" spans="187:190" s="1" customFormat="1" ht="18" customHeight="1" x14ac:dyDescent="0.2">
      <c r="GE191"/>
      <c r="GF191"/>
      <c r="GG191"/>
      <c r="GH191"/>
    </row>
    <row r="192" spans="187:190" s="1" customFormat="1" ht="18" customHeight="1" x14ac:dyDescent="0.2">
      <c r="GE192"/>
      <c r="GF192"/>
      <c r="GG192"/>
      <c r="GH192"/>
    </row>
    <row r="193" spans="187:190" s="1" customFormat="1" ht="18" customHeight="1" x14ac:dyDescent="0.2">
      <c r="GE193"/>
      <c r="GF193"/>
      <c r="GG193"/>
      <c r="GH193"/>
    </row>
    <row r="194" spans="187:190" s="1" customFormat="1" ht="18" customHeight="1" x14ac:dyDescent="0.2">
      <c r="GE194"/>
      <c r="GF194"/>
      <c r="GG194"/>
      <c r="GH194"/>
    </row>
    <row r="195" spans="187:190" s="1" customFormat="1" ht="18" customHeight="1" x14ac:dyDescent="0.2">
      <c r="GE195"/>
      <c r="GF195"/>
      <c r="GG195"/>
      <c r="GH195"/>
    </row>
    <row r="196" spans="187:190" s="1" customFormat="1" ht="18" customHeight="1" x14ac:dyDescent="0.2">
      <c r="GE196"/>
      <c r="GF196"/>
      <c r="GG196"/>
      <c r="GH196"/>
    </row>
    <row r="197" spans="187:190" s="1" customFormat="1" ht="18" customHeight="1" x14ac:dyDescent="0.2">
      <c r="GE197"/>
      <c r="GF197"/>
      <c r="GG197"/>
      <c r="GH197"/>
    </row>
    <row r="198" spans="187:190" s="1" customFormat="1" ht="18" customHeight="1" x14ac:dyDescent="0.2">
      <c r="GE198"/>
      <c r="GF198"/>
      <c r="GG198"/>
      <c r="GH198"/>
    </row>
    <row r="199" spans="187:190" s="1" customFormat="1" ht="18" customHeight="1" x14ac:dyDescent="0.2">
      <c r="GE199"/>
      <c r="GF199"/>
      <c r="GG199"/>
      <c r="GH199"/>
    </row>
    <row r="200" spans="187:190" s="1" customFormat="1" ht="18" customHeight="1" x14ac:dyDescent="0.2">
      <c r="GE200"/>
      <c r="GF200"/>
      <c r="GG200"/>
      <c r="GH200"/>
    </row>
    <row r="201" spans="187:190" s="1" customFormat="1" ht="18" customHeight="1" x14ac:dyDescent="0.2">
      <c r="GE201"/>
      <c r="GF201"/>
      <c r="GG201"/>
      <c r="GH201"/>
    </row>
    <row r="202" spans="187:190" s="1" customFormat="1" ht="18" customHeight="1" x14ac:dyDescent="0.2">
      <c r="GE202"/>
      <c r="GF202"/>
      <c r="GG202"/>
      <c r="GH202"/>
    </row>
    <row r="203" spans="187:190" s="1" customFormat="1" ht="18" customHeight="1" x14ac:dyDescent="0.2">
      <c r="GE203"/>
      <c r="GF203"/>
      <c r="GG203"/>
      <c r="GH203"/>
    </row>
    <row r="204" spans="187:190" s="1" customFormat="1" ht="18" customHeight="1" x14ac:dyDescent="0.2">
      <c r="GE204"/>
      <c r="GF204"/>
      <c r="GG204"/>
      <c r="GH204"/>
    </row>
    <row r="205" spans="187:190" s="1" customFormat="1" ht="18" customHeight="1" x14ac:dyDescent="0.2">
      <c r="GE205"/>
      <c r="GF205"/>
      <c r="GG205"/>
      <c r="GH205"/>
    </row>
    <row r="206" spans="187:190" s="1" customFormat="1" ht="18" customHeight="1" x14ac:dyDescent="0.2">
      <c r="GE206"/>
      <c r="GF206"/>
      <c r="GG206"/>
      <c r="GH206"/>
    </row>
    <row r="207" spans="187:190" s="1" customFormat="1" ht="18" customHeight="1" x14ac:dyDescent="0.2">
      <c r="GE207"/>
      <c r="GF207"/>
      <c r="GG207"/>
      <c r="GH207"/>
    </row>
    <row r="208" spans="187:190" s="1" customFormat="1" ht="18" customHeight="1" x14ac:dyDescent="0.2">
      <c r="GE208"/>
      <c r="GF208"/>
      <c r="GG208"/>
      <c r="GH208"/>
    </row>
    <row r="209" spans="187:190" s="1" customFormat="1" ht="18" customHeight="1" x14ac:dyDescent="0.2">
      <c r="GE209"/>
      <c r="GF209"/>
      <c r="GG209"/>
      <c r="GH209"/>
    </row>
    <row r="210" spans="187:190" s="1" customFormat="1" ht="18" customHeight="1" x14ac:dyDescent="0.2">
      <c r="GE210"/>
      <c r="GF210"/>
      <c r="GG210"/>
      <c r="GH210"/>
    </row>
    <row r="211" spans="187:190" s="1" customFormat="1" ht="18" customHeight="1" x14ac:dyDescent="0.2">
      <c r="GE211"/>
      <c r="GF211"/>
      <c r="GG211"/>
      <c r="GH211"/>
    </row>
    <row r="212" spans="187:190" s="1" customFormat="1" ht="18" customHeight="1" x14ac:dyDescent="0.2">
      <c r="GE212"/>
      <c r="GF212"/>
      <c r="GG212"/>
      <c r="GH212"/>
    </row>
    <row r="213" spans="187:190" s="1" customFormat="1" ht="18" customHeight="1" x14ac:dyDescent="0.2">
      <c r="GE213"/>
      <c r="GF213"/>
      <c r="GG213"/>
      <c r="GH213"/>
    </row>
    <row r="214" spans="187:190" s="1" customFormat="1" ht="18" customHeight="1" x14ac:dyDescent="0.2">
      <c r="GE214"/>
      <c r="GF214"/>
      <c r="GG214"/>
      <c r="GH214"/>
    </row>
    <row r="215" spans="187:190" s="1" customFormat="1" ht="18" customHeight="1" x14ac:dyDescent="0.2">
      <c r="GE215"/>
      <c r="GF215"/>
      <c r="GG215"/>
      <c r="GH215"/>
    </row>
    <row r="216" spans="187:190" s="1" customFormat="1" ht="18" customHeight="1" x14ac:dyDescent="0.2">
      <c r="GE216"/>
      <c r="GF216"/>
      <c r="GG216"/>
      <c r="GH216"/>
    </row>
    <row r="217" spans="187:190" s="1" customFormat="1" ht="18" customHeight="1" x14ac:dyDescent="0.2">
      <c r="GE217"/>
      <c r="GF217"/>
      <c r="GG217"/>
      <c r="GH217"/>
    </row>
    <row r="218" spans="187:190" s="1" customFormat="1" ht="18" customHeight="1" x14ac:dyDescent="0.2">
      <c r="GE218"/>
      <c r="GF218"/>
      <c r="GG218"/>
      <c r="GH218"/>
    </row>
    <row r="219" spans="187:190" s="1" customFormat="1" ht="18" customHeight="1" x14ac:dyDescent="0.2">
      <c r="GE219"/>
      <c r="GF219"/>
      <c r="GG219"/>
      <c r="GH219"/>
    </row>
    <row r="220" spans="187:190" s="1" customFormat="1" ht="18" customHeight="1" x14ac:dyDescent="0.2">
      <c r="GE220"/>
      <c r="GF220"/>
      <c r="GG220"/>
      <c r="GH220"/>
    </row>
    <row r="221" spans="187:190" s="1" customFormat="1" ht="18" customHeight="1" x14ac:dyDescent="0.2">
      <c r="GE221"/>
      <c r="GF221"/>
      <c r="GG221"/>
      <c r="GH221"/>
    </row>
    <row r="222" spans="187:190" s="1" customFormat="1" ht="18" customHeight="1" x14ac:dyDescent="0.2">
      <c r="GE222"/>
      <c r="GF222"/>
      <c r="GG222"/>
      <c r="GH222"/>
    </row>
    <row r="223" spans="187:190" s="1" customFormat="1" ht="18" customHeight="1" x14ac:dyDescent="0.2">
      <c r="GE223"/>
      <c r="GF223"/>
      <c r="GG223"/>
      <c r="GH223"/>
    </row>
    <row r="224" spans="187:190" s="1" customFormat="1" ht="18" customHeight="1" x14ac:dyDescent="0.2">
      <c r="GE224"/>
      <c r="GF224"/>
      <c r="GG224"/>
      <c r="GH224"/>
    </row>
    <row r="225" spans="187:190" s="1" customFormat="1" ht="18" customHeight="1" x14ac:dyDescent="0.2">
      <c r="GE225"/>
      <c r="GF225"/>
      <c r="GG225"/>
      <c r="GH225"/>
    </row>
    <row r="226" spans="187:190" s="1" customFormat="1" ht="18" customHeight="1" x14ac:dyDescent="0.2">
      <c r="GE226"/>
      <c r="GF226"/>
      <c r="GG226"/>
      <c r="GH226"/>
    </row>
    <row r="227" spans="187:190" s="1" customFormat="1" ht="18" customHeight="1" x14ac:dyDescent="0.2">
      <c r="GE227"/>
      <c r="GF227"/>
      <c r="GG227"/>
      <c r="GH227"/>
    </row>
    <row r="228" spans="187:190" s="1" customFormat="1" ht="18" customHeight="1" x14ac:dyDescent="0.2">
      <c r="GE228"/>
      <c r="GF228"/>
      <c r="GG228"/>
      <c r="GH228"/>
    </row>
    <row r="229" spans="187:190" s="1" customFormat="1" ht="18" customHeight="1" x14ac:dyDescent="0.2">
      <c r="GE229"/>
      <c r="GF229"/>
      <c r="GG229"/>
      <c r="GH229"/>
    </row>
    <row r="230" spans="187:190" s="1" customFormat="1" ht="18" customHeight="1" x14ac:dyDescent="0.2">
      <c r="GE230"/>
      <c r="GF230"/>
      <c r="GG230"/>
      <c r="GH230"/>
    </row>
    <row r="231" spans="187:190" s="1" customFormat="1" ht="18" customHeight="1" x14ac:dyDescent="0.2">
      <c r="GE231"/>
      <c r="GF231"/>
      <c r="GG231"/>
      <c r="GH231"/>
    </row>
    <row r="232" spans="187:190" s="1" customFormat="1" ht="18" customHeight="1" x14ac:dyDescent="0.2">
      <c r="GE232"/>
      <c r="GF232"/>
      <c r="GG232"/>
      <c r="GH232"/>
    </row>
    <row r="233" spans="187:190" s="1" customFormat="1" ht="18" customHeight="1" x14ac:dyDescent="0.2">
      <c r="GE233"/>
      <c r="GF233"/>
      <c r="GG233"/>
      <c r="GH233"/>
    </row>
    <row r="234" spans="187:190" s="1" customFormat="1" ht="18" customHeight="1" x14ac:dyDescent="0.2">
      <c r="GE234"/>
      <c r="GF234"/>
      <c r="GG234"/>
      <c r="GH234"/>
    </row>
    <row r="235" spans="187:190" s="1" customFormat="1" ht="18" customHeight="1" x14ac:dyDescent="0.2">
      <c r="GE235"/>
      <c r="GF235"/>
      <c r="GG235"/>
      <c r="GH235"/>
    </row>
    <row r="236" spans="187:190" s="1" customFormat="1" ht="18" customHeight="1" x14ac:dyDescent="0.2">
      <c r="GE236"/>
      <c r="GF236"/>
      <c r="GG236"/>
      <c r="GH236"/>
    </row>
    <row r="237" spans="187:190" s="1" customFormat="1" ht="18" customHeight="1" x14ac:dyDescent="0.2">
      <c r="GE237"/>
      <c r="GF237"/>
      <c r="GG237"/>
      <c r="GH237"/>
    </row>
    <row r="238" spans="187:190" s="1" customFormat="1" ht="18" customHeight="1" x14ac:dyDescent="0.2">
      <c r="GE238"/>
      <c r="GF238"/>
      <c r="GG238"/>
      <c r="GH238"/>
    </row>
    <row r="239" spans="187:190" s="1" customFormat="1" ht="18" customHeight="1" x14ac:dyDescent="0.2">
      <c r="GE239"/>
      <c r="GF239"/>
      <c r="GG239"/>
      <c r="GH239"/>
    </row>
    <row r="240" spans="187:190" s="1" customFormat="1" ht="18" customHeight="1" x14ac:dyDescent="0.2">
      <c r="GE240"/>
      <c r="GF240"/>
      <c r="GG240"/>
      <c r="GH240"/>
    </row>
    <row r="241" spans="187:190" s="1" customFormat="1" ht="18" customHeight="1" x14ac:dyDescent="0.2">
      <c r="GE241"/>
      <c r="GF241"/>
      <c r="GG241"/>
      <c r="GH241"/>
    </row>
    <row r="242" spans="187:190" s="1" customFormat="1" ht="18" customHeight="1" x14ac:dyDescent="0.2">
      <c r="GE242"/>
      <c r="GF242"/>
      <c r="GG242"/>
      <c r="GH242"/>
    </row>
    <row r="243" spans="187:190" s="1" customFormat="1" ht="18" customHeight="1" x14ac:dyDescent="0.2">
      <c r="GE243"/>
      <c r="GF243"/>
      <c r="GG243"/>
      <c r="GH243"/>
    </row>
    <row r="244" spans="187:190" s="1" customFormat="1" ht="18" customHeight="1" x14ac:dyDescent="0.2">
      <c r="GE244"/>
      <c r="GF244"/>
      <c r="GG244"/>
      <c r="GH244"/>
    </row>
    <row r="245" spans="187:190" s="1" customFormat="1" ht="18" customHeight="1" x14ac:dyDescent="0.2">
      <c r="GE245"/>
      <c r="GF245"/>
      <c r="GG245"/>
      <c r="GH245"/>
    </row>
    <row r="246" spans="187:190" s="1" customFormat="1" ht="18" customHeight="1" x14ac:dyDescent="0.2">
      <c r="GE246"/>
      <c r="GF246"/>
      <c r="GG246"/>
      <c r="GH246"/>
    </row>
    <row r="247" spans="187:190" s="1" customFormat="1" ht="18" customHeight="1" x14ac:dyDescent="0.2">
      <c r="GE247"/>
      <c r="GF247"/>
      <c r="GG247"/>
      <c r="GH247"/>
    </row>
    <row r="248" spans="187:190" s="1" customFormat="1" ht="18" customHeight="1" x14ac:dyDescent="0.2">
      <c r="GE248"/>
      <c r="GF248"/>
      <c r="GG248"/>
      <c r="GH248"/>
    </row>
    <row r="249" spans="187:190" s="1" customFormat="1" ht="18" customHeight="1" x14ac:dyDescent="0.2">
      <c r="GE249"/>
      <c r="GF249"/>
      <c r="GG249"/>
      <c r="GH249"/>
    </row>
    <row r="250" spans="187:190" s="1" customFormat="1" ht="18" customHeight="1" x14ac:dyDescent="0.2">
      <c r="GE250"/>
      <c r="GF250"/>
      <c r="GG250"/>
      <c r="GH250"/>
    </row>
    <row r="251" spans="187:190" s="1" customFormat="1" ht="18" customHeight="1" x14ac:dyDescent="0.2">
      <c r="GE251"/>
      <c r="GF251"/>
      <c r="GG251"/>
      <c r="GH251"/>
    </row>
    <row r="252" spans="187:190" s="1" customFormat="1" ht="18" customHeight="1" x14ac:dyDescent="0.2">
      <c r="GE252"/>
      <c r="GF252"/>
      <c r="GG252"/>
      <c r="GH252"/>
    </row>
    <row r="253" spans="187:190" s="1" customFormat="1" ht="18" customHeight="1" x14ac:dyDescent="0.2">
      <c r="GE253"/>
      <c r="GF253"/>
      <c r="GG253"/>
      <c r="GH253"/>
    </row>
    <row r="254" spans="187:190" s="1" customFormat="1" ht="18" customHeight="1" x14ac:dyDescent="0.2">
      <c r="GE254"/>
      <c r="GF254"/>
      <c r="GG254"/>
      <c r="GH254"/>
    </row>
    <row r="255" spans="187:190" s="1" customFormat="1" ht="18" customHeight="1" x14ac:dyDescent="0.2">
      <c r="GE255"/>
      <c r="GF255"/>
      <c r="GG255"/>
      <c r="GH255"/>
    </row>
    <row r="256" spans="187:190" s="1" customFormat="1" ht="18" customHeight="1" x14ac:dyDescent="0.2">
      <c r="GE256"/>
      <c r="GF256"/>
      <c r="GG256"/>
      <c r="GH256"/>
    </row>
    <row r="257" spans="187:190" s="1" customFormat="1" ht="18" customHeight="1" x14ac:dyDescent="0.2">
      <c r="GE257"/>
      <c r="GF257"/>
      <c r="GG257"/>
      <c r="GH257"/>
    </row>
    <row r="258" spans="187:190" s="1" customFormat="1" ht="18" customHeight="1" x14ac:dyDescent="0.2">
      <c r="GE258"/>
      <c r="GF258"/>
      <c r="GG258"/>
      <c r="GH258"/>
    </row>
    <row r="259" spans="187:190" s="1" customFormat="1" ht="18" customHeight="1" x14ac:dyDescent="0.2">
      <c r="GE259"/>
      <c r="GF259"/>
      <c r="GG259"/>
      <c r="GH259"/>
    </row>
    <row r="260" spans="187:190" s="1" customFormat="1" ht="18" customHeight="1" x14ac:dyDescent="0.2">
      <c r="GE260"/>
      <c r="GF260"/>
      <c r="GG260"/>
      <c r="GH260"/>
    </row>
    <row r="261" spans="187:190" s="1" customFormat="1" ht="18" customHeight="1" x14ac:dyDescent="0.2">
      <c r="GE261"/>
      <c r="GF261"/>
      <c r="GG261"/>
      <c r="GH261"/>
    </row>
    <row r="262" spans="187:190" s="1" customFormat="1" ht="18" customHeight="1" x14ac:dyDescent="0.2">
      <c r="GE262"/>
      <c r="GF262"/>
      <c r="GG262"/>
      <c r="GH262"/>
    </row>
    <row r="263" spans="187:190" s="1" customFormat="1" ht="18" customHeight="1" x14ac:dyDescent="0.2">
      <c r="GE263"/>
      <c r="GF263"/>
      <c r="GG263"/>
      <c r="GH263"/>
    </row>
    <row r="264" spans="187:190" s="1" customFormat="1" ht="18" customHeight="1" x14ac:dyDescent="0.2">
      <c r="GE264"/>
      <c r="GF264"/>
      <c r="GG264"/>
      <c r="GH264"/>
    </row>
    <row r="265" spans="187:190" s="1" customFormat="1" ht="18" customHeight="1" x14ac:dyDescent="0.2">
      <c r="GE265"/>
      <c r="GF265"/>
      <c r="GG265"/>
      <c r="GH265"/>
    </row>
    <row r="266" spans="187:190" s="1" customFormat="1" ht="18" customHeight="1" x14ac:dyDescent="0.2">
      <c r="GE266"/>
      <c r="GF266"/>
      <c r="GG266"/>
      <c r="GH266"/>
    </row>
    <row r="267" spans="187:190" s="1" customFormat="1" ht="18" customHeight="1" x14ac:dyDescent="0.2">
      <c r="GE267"/>
      <c r="GF267"/>
      <c r="GG267"/>
      <c r="GH267"/>
    </row>
    <row r="268" spans="187:190" s="1" customFormat="1" ht="18" customHeight="1" x14ac:dyDescent="0.2">
      <c r="GE268"/>
      <c r="GF268"/>
      <c r="GG268"/>
      <c r="GH268"/>
    </row>
    <row r="269" spans="187:190" s="1" customFormat="1" ht="18" customHeight="1" x14ac:dyDescent="0.2">
      <c r="GE269"/>
      <c r="GF269"/>
      <c r="GG269"/>
      <c r="GH269"/>
    </row>
    <row r="270" spans="187:190" s="1" customFormat="1" ht="18" customHeight="1" x14ac:dyDescent="0.2">
      <c r="GE270"/>
      <c r="GF270"/>
      <c r="GG270"/>
      <c r="GH270"/>
    </row>
    <row r="271" spans="187:190" s="1" customFormat="1" ht="18" customHeight="1" x14ac:dyDescent="0.2">
      <c r="GE271"/>
      <c r="GF271"/>
      <c r="GG271"/>
      <c r="GH271"/>
    </row>
    <row r="272" spans="187:190" s="1" customFormat="1" ht="18" customHeight="1" x14ac:dyDescent="0.2">
      <c r="GE272"/>
      <c r="GF272"/>
      <c r="GG272"/>
      <c r="GH272"/>
    </row>
    <row r="273" spans="187:190" s="1" customFormat="1" ht="18" customHeight="1" x14ac:dyDescent="0.2">
      <c r="GE273"/>
      <c r="GF273"/>
      <c r="GG273"/>
      <c r="GH273"/>
    </row>
    <row r="274" spans="187:190" s="1" customFormat="1" ht="18" customHeight="1" x14ac:dyDescent="0.2">
      <c r="GE274"/>
      <c r="GF274"/>
      <c r="GG274"/>
      <c r="GH274"/>
    </row>
    <row r="275" spans="187:190" s="1" customFormat="1" ht="18" customHeight="1" x14ac:dyDescent="0.2">
      <c r="GE275"/>
      <c r="GF275"/>
      <c r="GG275"/>
      <c r="GH275"/>
    </row>
    <row r="276" spans="187:190" s="1" customFormat="1" ht="18" customHeight="1" x14ac:dyDescent="0.2">
      <c r="GE276"/>
      <c r="GF276"/>
      <c r="GG276"/>
      <c r="GH276"/>
    </row>
    <row r="277" spans="187:190" s="1" customFormat="1" ht="18" customHeight="1" x14ac:dyDescent="0.2">
      <c r="GE277"/>
      <c r="GF277"/>
      <c r="GG277"/>
      <c r="GH277"/>
    </row>
    <row r="278" spans="187:190" s="1" customFormat="1" ht="18" customHeight="1" x14ac:dyDescent="0.2">
      <c r="GE278"/>
      <c r="GF278"/>
      <c r="GG278"/>
      <c r="GH278"/>
    </row>
    <row r="279" spans="187:190" s="1" customFormat="1" ht="18" customHeight="1" x14ac:dyDescent="0.2">
      <c r="GE279"/>
      <c r="GF279"/>
      <c r="GG279"/>
      <c r="GH279"/>
    </row>
    <row r="280" spans="187:190" s="1" customFormat="1" ht="18" customHeight="1" x14ac:dyDescent="0.2">
      <c r="GE280"/>
      <c r="GF280"/>
      <c r="GG280"/>
      <c r="GH280"/>
    </row>
    <row r="281" spans="187:190" s="1" customFormat="1" ht="18" customHeight="1" x14ac:dyDescent="0.2">
      <c r="GE281"/>
      <c r="GF281"/>
      <c r="GG281"/>
      <c r="GH281"/>
    </row>
    <row r="282" spans="187:190" s="1" customFormat="1" ht="18" customHeight="1" x14ac:dyDescent="0.2">
      <c r="GE282"/>
      <c r="GF282"/>
      <c r="GG282"/>
      <c r="GH282"/>
    </row>
    <row r="283" spans="187:190" s="1" customFormat="1" ht="18" customHeight="1" x14ac:dyDescent="0.2">
      <c r="GE283"/>
      <c r="GF283"/>
      <c r="GG283"/>
      <c r="GH283"/>
    </row>
    <row r="284" spans="187:190" s="1" customFormat="1" ht="18" customHeight="1" x14ac:dyDescent="0.2">
      <c r="GE284"/>
      <c r="GF284"/>
      <c r="GG284"/>
      <c r="GH284"/>
    </row>
    <row r="285" spans="187:190" s="1" customFormat="1" ht="18" customHeight="1" x14ac:dyDescent="0.2">
      <c r="GE285"/>
      <c r="GF285"/>
      <c r="GG285"/>
      <c r="GH285"/>
    </row>
    <row r="286" spans="187:190" s="1" customFormat="1" ht="18" customHeight="1" x14ac:dyDescent="0.2">
      <c r="GE286"/>
      <c r="GF286"/>
      <c r="GG286"/>
      <c r="GH286"/>
    </row>
    <row r="287" spans="187:190" s="1" customFormat="1" ht="18" customHeight="1" x14ac:dyDescent="0.2">
      <c r="GE287"/>
      <c r="GF287"/>
      <c r="GG287"/>
      <c r="GH287"/>
    </row>
    <row r="288" spans="187:190" s="1" customFormat="1" ht="18" customHeight="1" x14ac:dyDescent="0.2">
      <c r="GE288"/>
      <c r="GF288"/>
      <c r="GG288"/>
      <c r="GH288"/>
    </row>
    <row r="289" spans="187:190" s="1" customFormat="1" ht="18" customHeight="1" x14ac:dyDescent="0.2">
      <c r="GE289"/>
      <c r="GF289"/>
      <c r="GG289"/>
      <c r="GH289"/>
    </row>
    <row r="290" spans="187:190" s="1" customFormat="1" ht="18" customHeight="1" x14ac:dyDescent="0.2">
      <c r="GE290"/>
      <c r="GF290"/>
      <c r="GG290"/>
      <c r="GH290"/>
    </row>
    <row r="291" spans="187:190" s="1" customFormat="1" ht="18" customHeight="1" x14ac:dyDescent="0.2">
      <c r="GE291"/>
      <c r="GF291"/>
      <c r="GG291"/>
      <c r="GH291"/>
    </row>
    <row r="292" spans="187:190" s="1" customFormat="1" ht="18" customHeight="1" x14ac:dyDescent="0.2">
      <c r="GE292"/>
      <c r="GF292"/>
      <c r="GG292"/>
      <c r="GH292"/>
    </row>
    <row r="293" spans="187:190" s="1" customFormat="1" ht="18" customHeight="1" x14ac:dyDescent="0.2">
      <c r="GE293"/>
      <c r="GF293"/>
      <c r="GG293"/>
      <c r="GH293"/>
    </row>
    <row r="294" spans="187:190" s="1" customFormat="1" ht="18" customHeight="1" x14ac:dyDescent="0.2">
      <c r="GE294"/>
      <c r="GF294"/>
      <c r="GG294"/>
      <c r="GH294"/>
    </row>
    <row r="295" spans="187:190" s="1" customFormat="1" ht="18" customHeight="1" x14ac:dyDescent="0.2">
      <c r="GE295"/>
      <c r="GF295"/>
      <c r="GG295"/>
      <c r="GH295"/>
    </row>
    <row r="296" spans="187:190" s="1" customFormat="1" ht="18" customHeight="1" x14ac:dyDescent="0.2">
      <c r="GE296"/>
      <c r="GF296"/>
      <c r="GG296"/>
      <c r="GH296"/>
    </row>
    <row r="297" spans="187:190" s="1" customFormat="1" ht="18" customHeight="1" x14ac:dyDescent="0.2">
      <c r="GE297"/>
      <c r="GF297"/>
      <c r="GG297"/>
      <c r="GH297"/>
    </row>
    <row r="298" spans="187:190" s="1" customFormat="1" ht="18" customHeight="1" x14ac:dyDescent="0.2">
      <c r="GE298"/>
      <c r="GF298"/>
      <c r="GG298"/>
      <c r="GH298"/>
    </row>
    <row r="299" spans="187:190" s="1" customFormat="1" ht="18" customHeight="1" x14ac:dyDescent="0.2">
      <c r="GE299"/>
      <c r="GF299"/>
      <c r="GG299"/>
      <c r="GH299"/>
    </row>
    <row r="300" spans="187:190" s="1" customFormat="1" ht="18" customHeight="1" x14ac:dyDescent="0.2">
      <c r="GE300"/>
      <c r="GF300"/>
      <c r="GG300"/>
      <c r="GH300"/>
    </row>
    <row r="301" spans="187:190" s="1" customFormat="1" ht="18" customHeight="1" x14ac:dyDescent="0.2">
      <c r="GE301"/>
      <c r="GF301"/>
      <c r="GG301"/>
      <c r="GH301"/>
    </row>
    <row r="302" spans="187:190" s="1" customFormat="1" ht="18" customHeight="1" x14ac:dyDescent="0.2">
      <c r="GE302"/>
      <c r="GF302"/>
      <c r="GG302"/>
      <c r="GH302"/>
    </row>
    <row r="303" spans="187:190" s="1" customFormat="1" ht="18" customHeight="1" x14ac:dyDescent="0.2">
      <c r="GE303"/>
      <c r="GF303"/>
      <c r="GG303"/>
      <c r="GH303"/>
    </row>
    <row r="304" spans="187:190" s="1" customFormat="1" ht="18" customHeight="1" x14ac:dyDescent="0.2">
      <c r="GE304"/>
      <c r="GF304"/>
      <c r="GG304"/>
      <c r="GH304"/>
    </row>
    <row r="305" spans="187:190" s="1" customFormat="1" ht="18" customHeight="1" x14ac:dyDescent="0.2">
      <c r="GE305"/>
      <c r="GF305"/>
      <c r="GG305"/>
      <c r="GH305"/>
    </row>
    <row r="306" spans="187:190" s="1" customFormat="1" ht="18" customHeight="1" x14ac:dyDescent="0.2">
      <c r="GE306"/>
      <c r="GF306"/>
      <c r="GG306"/>
      <c r="GH306"/>
    </row>
    <row r="307" spans="187:190" s="1" customFormat="1" ht="18" customHeight="1" x14ac:dyDescent="0.2">
      <c r="GE307"/>
      <c r="GF307"/>
      <c r="GG307"/>
      <c r="GH307"/>
    </row>
    <row r="308" spans="187:190" s="1" customFormat="1" ht="18" customHeight="1" x14ac:dyDescent="0.2">
      <c r="GE308"/>
      <c r="GF308"/>
      <c r="GG308"/>
      <c r="GH308"/>
    </row>
    <row r="309" spans="187:190" s="1" customFormat="1" ht="18" customHeight="1" x14ac:dyDescent="0.2">
      <c r="GE309"/>
      <c r="GF309"/>
      <c r="GG309"/>
      <c r="GH309"/>
    </row>
    <row r="310" spans="187:190" s="1" customFormat="1" ht="18" customHeight="1" x14ac:dyDescent="0.2">
      <c r="GE310"/>
      <c r="GF310"/>
      <c r="GG310"/>
      <c r="GH310"/>
    </row>
    <row r="311" spans="187:190" s="1" customFormat="1" ht="18" customHeight="1" x14ac:dyDescent="0.2">
      <c r="GE311"/>
      <c r="GF311"/>
      <c r="GG311"/>
      <c r="GH311"/>
    </row>
    <row r="312" spans="187:190" s="1" customFormat="1" ht="18" customHeight="1" x14ac:dyDescent="0.2">
      <c r="GE312"/>
      <c r="GF312"/>
      <c r="GG312"/>
      <c r="GH312"/>
    </row>
    <row r="313" spans="187:190" s="1" customFormat="1" ht="18" customHeight="1" x14ac:dyDescent="0.2">
      <c r="GE313"/>
      <c r="GF313"/>
      <c r="GG313"/>
      <c r="GH313"/>
    </row>
    <row r="314" spans="187:190" s="1" customFormat="1" ht="18" customHeight="1" x14ac:dyDescent="0.2">
      <c r="GE314"/>
      <c r="GF314"/>
      <c r="GG314"/>
      <c r="GH314"/>
    </row>
    <row r="315" spans="187:190" s="1" customFormat="1" ht="18" customHeight="1" x14ac:dyDescent="0.2">
      <c r="GE315"/>
      <c r="GF315"/>
      <c r="GG315"/>
      <c r="GH315"/>
    </row>
    <row r="316" spans="187:190" s="1" customFormat="1" ht="18" customHeight="1" x14ac:dyDescent="0.2">
      <c r="GE316"/>
      <c r="GF316"/>
      <c r="GG316"/>
      <c r="GH316"/>
    </row>
    <row r="317" spans="187:190" s="1" customFormat="1" ht="18" customHeight="1" x14ac:dyDescent="0.2">
      <c r="GE317"/>
      <c r="GF317"/>
      <c r="GG317"/>
      <c r="GH317"/>
    </row>
    <row r="318" spans="187:190" s="1" customFormat="1" ht="18" customHeight="1" x14ac:dyDescent="0.2">
      <c r="GE318"/>
      <c r="GF318"/>
      <c r="GG318"/>
      <c r="GH318"/>
    </row>
    <row r="319" spans="187:190" s="1" customFormat="1" ht="18" customHeight="1" x14ac:dyDescent="0.2">
      <c r="GE319"/>
      <c r="GF319"/>
      <c r="GG319"/>
      <c r="GH319"/>
    </row>
    <row r="320" spans="187:190" s="1" customFormat="1" ht="18" customHeight="1" x14ac:dyDescent="0.2">
      <c r="GE320"/>
      <c r="GF320"/>
      <c r="GG320"/>
      <c r="GH320"/>
    </row>
    <row r="321" spans="187:190" s="1" customFormat="1" ht="18" customHeight="1" x14ac:dyDescent="0.2">
      <c r="GE321"/>
      <c r="GF321"/>
      <c r="GG321"/>
      <c r="GH321"/>
    </row>
    <row r="322" spans="187:190" s="1" customFormat="1" ht="18" customHeight="1" x14ac:dyDescent="0.2">
      <c r="GE322"/>
      <c r="GF322"/>
      <c r="GG322"/>
      <c r="GH322"/>
    </row>
    <row r="323" spans="187:190" s="1" customFormat="1" ht="18" customHeight="1" x14ac:dyDescent="0.2">
      <c r="GE323"/>
      <c r="GF323"/>
      <c r="GG323"/>
      <c r="GH323"/>
    </row>
    <row r="324" spans="187:190" s="1" customFormat="1" ht="18" customHeight="1" x14ac:dyDescent="0.2">
      <c r="GE324"/>
      <c r="GF324"/>
      <c r="GG324"/>
      <c r="GH324"/>
    </row>
    <row r="325" spans="187:190" s="1" customFormat="1" ht="18" customHeight="1" x14ac:dyDescent="0.2">
      <c r="GE325"/>
      <c r="GF325"/>
      <c r="GG325"/>
      <c r="GH325"/>
    </row>
    <row r="326" spans="187:190" s="1" customFormat="1" ht="18" customHeight="1" x14ac:dyDescent="0.2">
      <c r="GE326"/>
      <c r="GF326"/>
      <c r="GG326"/>
      <c r="GH326"/>
    </row>
    <row r="327" spans="187:190" s="1" customFormat="1" ht="18" customHeight="1" x14ac:dyDescent="0.2">
      <c r="GE327"/>
      <c r="GF327"/>
      <c r="GG327"/>
      <c r="GH327"/>
    </row>
    <row r="328" spans="187:190" s="1" customFormat="1" ht="18" customHeight="1" x14ac:dyDescent="0.2">
      <c r="GE328"/>
      <c r="GF328"/>
      <c r="GG328"/>
      <c r="GH328"/>
    </row>
    <row r="329" spans="187:190" s="1" customFormat="1" ht="18" customHeight="1" x14ac:dyDescent="0.2">
      <c r="GE329"/>
      <c r="GF329"/>
      <c r="GG329"/>
      <c r="GH329"/>
    </row>
    <row r="330" spans="187:190" s="1" customFormat="1" ht="18" customHeight="1" x14ac:dyDescent="0.2">
      <c r="GE330"/>
      <c r="GF330"/>
      <c r="GG330"/>
      <c r="GH330"/>
    </row>
    <row r="331" spans="187:190" s="1" customFormat="1" ht="18" customHeight="1" x14ac:dyDescent="0.2">
      <c r="GE331"/>
      <c r="GF331"/>
      <c r="GG331"/>
      <c r="GH331"/>
    </row>
    <row r="332" spans="187:190" s="1" customFormat="1" ht="18" customHeight="1" x14ac:dyDescent="0.2">
      <c r="GE332"/>
      <c r="GF332"/>
      <c r="GG332"/>
      <c r="GH332"/>
    </row>
    <row r="333" spans="187:190" s="1" customFormat="1" ht="18" customHeight="1" x14ac:dyDescent="0.2">
      <c r="GE333"/>
      <c r="GF333"/>
      <c r="GG333"/>
      <c r="GH333"/>
    </row>
    <row r="334" spans="187:190" s="1" customFormat="1" ht="18" customHeight="1" x14ac:dyDescent="0.2">
      <c r="GE334"/>
      <c r="GF334"/>
      <c r="GG334"/>
      <c r="GH334"/>
    </row>
    <row r="335" spans="187:190" s="1" customFormat="1" ht="18" customHeight="1" x14ac:dyDescent="0.2">
      <c r="GE335"/>
      <c r="GF335"/>
      <c r="GG335"/>
      <c r="GH335"/>
    </row>
    <row r="336" spans="187:190" s="1" customFormat="1" ht="18" customHeight="1" x14ac:dyDescent="0.2">
      <c r="GE336"/>
      <c r="GF336"/>
      <c r="GG336"/>
      <c r="GH336"/>
    </row>
    <row r="337" spans="187:190" s="1" customFormat="1" ht="18" customHeight="1" x14ac:dyDescent="0.2">
      <c r="GE337"/>
      <c r="GF337"/>
      <c r="GG337"/>
      <c r="GH337"/>
    </row>
    <row r="338" spans="187:190" s="1" customFormat="1" ht="18" customHeight="1" x14ac:dyDescent="0.2">
      <c r="GE338"/>
      <c r="GF338"/>
      <c r="GG338"/>
      <c r="GH338"/>
    </row>
    <row r="339" spans="187:190" s="1" customFormat="1" ht="18" customHeight="1" x14ac:dyDescent="0.2">
      <c r="GE339"/>
      <c r="GF339"/>
      <c r="GG339"/>
      <c r="GH339"/>
    </row>
    <row r="340" spans="187:190" s="1" customFormat="1" ht="18" customHeight="1" x14ac:dyDescent="0.2">
      <c r="GE340"/>
      <c r="GF340"/>
      <c r="GG340"/>
      <c r="GH340"/>
    </row>
    <row r="341" spans="187:190" s="1" customFormat="1" ht="18" customHeight="1" x14ac:dyDescent="0.2">
      <c r="GE341"/>
      <c r="GF341"/>
      <c r="GG341"/>
      <c r="GH341"/>
    </row>
    <row r="342" spans="187:190" s="1" customFormat="1" ht="18" customHeight="1" x14ac:dyDescent="0.2">
      <c r="GE342"/>
      <c r="GF342"/>
      <c r="GG342"/>
      <c r="GH342"/>
    </row>
    <row r="343" spans="187:190" s="1" customFormat="1" ht="18" customHeight="1" x14ac:dyDescent="0.2">
      <c r="GE343"/>
      <c r="GF343"/>
      <c r="GG343"/>
      <c r="GH343"/>
    </row>
    <row r="344" spans="187:190" s="1" customFormat="1" ht="18" customHeight="1" x14ac:dyDescent="0.2">
      <c r="GE344"/>
      <c r="GF344"/>
      <c r="GG344"/>
      <c r="GH344"/>
    </row>
    <row r="345" spans="187:190" s="1" customFormat="1" ht="18" customHeight="1" x14ac:dyDescent="0.2">
      <c r="GE345"/>
      <c r="GF345"/>
      <c r="GG345"/>
      <c r="GH345"/>
    </row>
    <row r="346" spans="187:190" s="1" customFormat="1" ht="18" customHeight="1" x14ac:dyDescent="0.2">
      <c r="GE346"/>
      <c r="GF346"/>
      <c r="GG346"/>
      <c r="GH346"/>
    </row>
    <row r="347" spans="187:190" s="1" customFormat="1" ht="18" customHeight="1" x14ac:dyDescent="0.2">
      <c r="GE347"/>
      <c r="GF347"/>
      <c r="GG347"/>
      <c r="GH347"/>
    </row>
    <row r="348" spans="187:190" s="1" customFormat="1" ht="18" customHeight="1" x14ac:dyDescent="0.2">
      <c r="GE348"/>
      <c r="GF348"/>
      <c r="GG348"/>
      <c r="GH348"/>
    </row>
    <row r="349" spans="187:190" s="1" customFormat="1" ht="18" customHeight="1" x14ac:dyDescent="0.2">
      <c r="GE349"/>
      <c r="GF349"/>
      <c r="GG349"/>
      <c r="GH349"/>
    </row>
    <row r="350" spans="187:190" s="1" customFormat="1" ht="18" customHeight="1" x14ac:dyDescent="0.2">
      <c r="GE350"/>
      <c r="GF350"/>
      <c r="GG350"/>
      <c r="GH350"/>
    </row>
    <row r="351" spans="187:190" s="1" customFormat="1" ht="18" customHeight="1" x14ac:dyDescent="0.2">
      <c r="GE351"/>
      <c r="GF351"/>
      <c r="GG351"/>
      <c r="GH351"/>
    </row>
    <row r="352" spans="187:190" s="1" customFormat="1" ht="18" customHeight="1" x14ac:dyDescent="0.2">
      <c r="GE352"/>
      <c r="GF352"/>
      <c r="GG352"/>
      <c r="GH352"/>
    </row>
    <row r="353" spans="187:190" s="1" customFormat="1" ht="18" customHeight="1" x14ac:dyDescent="0.2">
      <c r="GE353"/>
      <c r="GF353"/>
      <c r="GG353"/>
      <c r="GH353"/>
    </row>
    <row r="354" spans="187:190" s="1" customFormat="1" ht="18" customHeight="1" x14ac:dyDescent="0.2">
      <c r="GE354"/>
      <c r="GF354"/>
      <c r="GG354"/>
      <c r="GH354"/>
    </row>
    <row r="355" spans="187:190" s="1" customFormat="1" ht="18" customHeight="1" x14ac:dyDescent="0.2">
      <c r="GE355"/>
      <c r="GF355"/>
      <c r="GG355"/>
      <c r="GH355"/>
    </row>
    <row r="356" spans="187:190" s="1" customFormat="1" ht="18" customHeight="1" x14ac:dyDescent="0.2">
      <c r="GE356"/>
      <c r="GF356"/>
      <c r="GG356"/>
      <c r="GH356"/>
    </row>
    <row r="357" spans="187:190" s="1" customFormat="1" ht="18" customHeight="1" x14ac:dyDescent="0.2">
      <c r="GE357"/>
      <c r="GF357"/>
      <c r="GG357"/>
      <c r="GH357"/>
    </row>
    <row r="358" spans="187:190" s="1" customFormat="1" ht="18" customHeight="1" x14ac:dyDescent="0.2">
      <c r="GE358"/>
      <c r="GF358"/>
      <c r="GG358"/>
      <c r="GH358"/>
    </row>
    <row r="359" spans="187:190" s="1" customFormat="1" ht="18" customHeight="1" x14ac:dyDescent="0.2">
      <c r="GE359"/>
      <c r="GF359"/>
      <c r="GG359"/>
      <c r="GH359"/>
    </row>
    <row r="360" spans="187:190" s="1" customFormat="1" ht="18" customHeight="1" x14ac:dyDescent="0.2">
      <c r="GE360"/>
      <c r="GF360"/>
      <c r="GG360"/>
      <c r="GH360"/>
    </row>
    <row r="361" spans="187:190" s="1" customFormat="1" ht="18" customHeight="1" x14ac:dyDescent="0.2">
      <c r="GE361"/>
      <c r="GF361"/>
      <c r="GG361"/>
      <c r="GH361"/>
    </row>
    <row r="362" spans="187:190" s="1" customFormat="1" ht="18" customHeight="1" x14ac:dyDescent="0.2">
      <c r="GE362"/>
      <c r="GF362"/>
      <c r="GG362"/>
      <c r="GH362"/>
    </row>
    <row r="363" spans="187:190" s="1" customFormat="1" ht="18" customHeight="1" x14ac:dyDescent="0.2">
      <c r="GE363"/>
      <c r="GF363"/>
      <c r="GG363"/>
      <c r="GH363"/>
    </row>
    <row r="364" spans="187:190" s="1" customFormat="1" ht="18" customHeight="1" x14ac:dyDescent="0.2">
      <c r="GE364"/>
      <c r="GF364"/>
      <c r="GG364"/>
      <c r="GH364"/>
    </row>
    <row r="365" spans="187:190" s="1" customFormat="1" ht="18" customHeight="1" x14ac:dyDescent="0.2">
      <c r="GE365"/>
      <c r="GF365"/>
      <c r="GG365"/>
      <c r="GH365"/>
    </row>
    <row r="366" spans="187:190" s="1" customFormat="1" ht="18" customHeight="1" x14ac:dyDescent="0.2">
      <c r="GE366"/>
      <c r="GF366"/>
      <c r="GG366"/>
      <c r="GH366"/>
    </row>
    <row r="367" spans="187:190" s="1" customFormat="1" ht="18" customHeight="1" x14ac:dyDescent="0.2">
      <c r="GE367"/>
      <c r="GF367"/>
      <c r="GG367"/>
      <c r="GH367"/>
    </row>
    <row r="368" spans="187:190" s="1" customFormat="1" ht="18" customHeight="1" x14ac:dyDescent="0.2">
      <c r="GE368"/>
      <c r="GF368"/>
      <c r="GG368"/>
      <c r="GH368"/>
    </row>
    <row r="369" spans="187:190" s="1" customFormat="1" ht="18" customHeight="1" x14ac:dyDescent="0.2">
      <c r="GE369"/>
      <c r="GF369"/>
      <c r="GG369"/>
      <c r="GH369"/>
    </row>
    <row r="370" spans="187:190" s="1" customFormat="1" ht="18" customHeight="1" x14ac:dyDescent="0.2">
      <c r="GE370"/>
      <c r="GF370"/>
      <c r="GG370"/>
      <c r="GH370"/>
    </row>
    <row r="371" spans="187:190" s="1" customFormat="1" ht="18" customHeight="1" x14ac:dyDescent="0.2">
      <c r="GE371"/>
      <c r="GF371"/>
      <c r="GG371"/>
      <c r="GH371"/>
    </row>
    <row r="372" spans="187:190" s="1" customFormat="1" ht="18" customHeight="1" x14ac:dyDescent="0.2">
      <c r="GE372"/>
      <c r="GF372"/>
      <c r="GG372"/>
      <c r="GH372"/>
    </row>
    <row r="373" spans="187:190" s="1" customFormat="1" ht="18" customHeight="1" x14ac:dyDescent="0.2">
      <c r="GE373"/>
      <c r="GF373"/>
      <c r="GG373"/>
      <c r="GH373"/>
    </row>
    <row r="374" spans="187:190" s="1" customFormat="1" ht="18" customHeight="1" x14ac:dyDescent="0.2">
      <c r="GE374"/>
      <c r="GF374"/>
      <c r="GG374"/>
      <c r="GH374"/>
    </row>
    <row r="375" spans="187:190" s="1" customFormat="1" ht="18" customHeight="1" x14ac:dyDescent="0.2">
      <c r="GE375"/>
      <c r="GF375"/>
      <c r="GG375"/>
      <c r="GH375"/>
    </row>
    <row r="376" spans="187:190" s="1" customFormat="1" ht="18" customHeight="1" x14ac:dyDescent="0.2">
      <c r="GE376"/>
      <c r="GF376"/>
      <c r="GG376"/>
      <c r="GH376"/>
    </row>
    <row r="377" spans="187:190" s="1" customFormat="1" ht="18" customHeight="1" x14ac:dyDescent="0.2">
      <c r="GE377"/>
      <c r="GF377"/>
      <c r="GG377"/>
      <c r="GH377"/>
    </row>
    <row r="378" spans="187:190" s="1" customFormat="1" ht="18" customHeight="1" x14ac:dyDescent="0.2">
      <c r="GE378"/>
      <c r="GF378"/>
      <c r="GG378"/>
      <c r="GH378"/>
    </row>
    <row r="379" spans="187:190" s="1" customFormat="1" ht="18" customHeight="1" x14ac:dyDescent="0.2">
      <c r="GE379"/>
      <c r="GF379"/>
      <c r="GG379"/>
      <c r="GH379"/>
    </row>
    <row r="380" spans="187:190" s="1" customFormat="1" ht="18" customHeight="1" x14ac:dyDescent="0.2">
      <c r="GE380"/>
      <c r="GF380"/>
      <c r="GG380"/>
      <c r="GH380"/>
    </row>
    <row r="381" spans="187:190" s="1" customFormat="1" ht="18" customHeight="1" x14ac:dyDescent="0.2">
      <c r="GE381"/>
      <c r="GF381"/>
      <c r="GG381"/>
      <c r="GH381"/>
    </row>
    <row r="382" spans="187:190" s="1" customFormat="1" ht="18" customHeight="1" x14ac:dyDescent="0.2">
      <c r="GE382"/>
      <c r="GF382"/>
      <c r="GG382"/>
      <c r="GH382"/>
    </row>
    <row r="383" spans="187:190" s="1" customFormat="1" ht="18" customHeight="1" x14ac:dyDescent="0.2">
      <c r="GE383"/>
      <c r="GF383"/>
      <c r="GG383"/>
      <c r="GH383"/>
    </row>
    <row r="384" spans="187:190" s="1" customFormat="1" ht="18" customHeight="1" x14ac:dyDescent="0.2">
      <c r="GE384"/>
      <c r="GF384"/>
      <c r="GG384"/>
      <c r="GH384"/>
    </row>
    <row r="385" spans="187:190" s="1" customFormat="1" ht="18" customHeight="1" x14ac:dyDescent="0.2">
      <c r="GE385"/>
      <c r="GF385"/>
      <c r="GG385"/>
      <c r="GH385"/>
    </row>
    <row r="386" spans="187:190" s="1" customFormat="1" ht="18" customHeight="1" x14ac:dyDescent="0.2">
      <c r="GE386"/>
      <c r="GF386"/>
      <c r="GG386"/>
      <c r="GH386"/>
    </row>
    <row r="387" spans="187:190" s="1" customFormat="1" ht="18" customHeight="1" x14ac:dyDescent="0.2">
      <c r="GE387"/>
      <c r="GF387"/>
      <c r="GG387"/>
      <c r="GH387"/>
    </row>
    <row r="388" spans="187:190" s="1" customFormat="1" ht="18" customHeight="1" x14ac:dyDescent="0.2">
      <c r="GE388"/>
      <c r="GF388"/>
      <c r="GG388"/>
      <c r="GH388"/>
    </row>
    <row r="389" spans="187:190" s="1" customFormat="1" ht="18" customHeight="1" x14ac:dyDescent="0.2">
      <c r="GE389"/>
      <c r="GF389"/>
      <c r="GG389"/>
      <c r="GH389"/>
    </row>
    <row r="390" spans="187:190" s="1" customFormat="1" ht="18" customHeight="1" x14ac:dyDescent="0.2">
      <c r="GE390"/>
      <c r="GF390"/>
      <c r="GG390"/>
      <c r="GH390"/>
    </row>
    <row r="391" spans="187:190" s="1" customFormat="1" ht="18" customHeight="1" x14ac:dyDescent="0.2">
      <c r="GE391"/>
      <c r="GF391"/>
      <c r="GG391"/>
      <c r="GH391"/>
    </row>
    <row r="392" spans="187:190" s="1" customFormat="1" ht="18" customHeight="1" x14ac:dyDescent="0.2">
      <c r="GE392"/>
      <c r="GF392"/>
      <c r="GG392"/>
      <c r="GH392"/>
    </row>
    <row r="393" spans="187:190" s="1" customFormat="1" ht="18" customHeight="1" x14ac:dyDescent="0.2">
      <c r="GE393"/>
      <c r="GF393"/>
      <c r="GG393"/>
      <c r="GH393"/>
    </row>
    <row r="394" spans="187:190" s="1" customFormat="1" ht="18" customHeight="1" x14ac:dyDescent="0.2">
      <c r="GE394"/>
      <c r="GF394"/>
      <c r="GG394"/>
      <c r="GH394"/>
    </row>
    <row r="395" spans="187:190" s="1" customFormat="1" ht="18" customHeight="1" x14ac:dyDescent="0.2">
      <c r="GE395"/>
      <c r="GF395"/>
      <c r="GG395"/>
      <c r="GH395"/>
    </row>
    <row r="396" spans="187:190" s="1" customFormat="1" ht="18" customHeight="1" x14ac:dyDescent="0.2">
      <c r="GE396"/>
      <c r="GF396"/>
      <c r="GG396"/>
      <c r="GH396"/>
    </row>
    <row r="397" spans="187:190" s="1" customFormat="1" ht="18" customHeight="1" x14ac:dyDescent="0.2">
      <c r="GE397"/>
      <c r="GF397"/>
      <c r="GG397"/>
      <c r="GH397"/>
    </row>
    <row r="398" spans="187:190" s="1" customFormat="1" ht="18" customHeight="1" x14ac:dyDescent="0.2">
      <c r="GE398"/>
      <c r="GF398"/>
      <c r="GG398"/>
      <c r="GH398"/>
    </row>
    <row r="399" spans="187:190" s="1" customFormat="1" ht="18" customHeight="1" x14ac:dyDescent="0.2">
      <c r="GE399"/>
      <c r="GF399"/>
      <c r="GG399"/>
      <c r="GH399"/>
    </row>
    <row r="400" spans="187:190" s="1" customFormat="1" ht="18" customHeight="1" x14ac:dyDescent="0.2">
      <c r="GE400"/>
      <c r="GF400"/>
      <c r="GG400"/>
      <c r="GH400"/>
    </row>
    <row r="401" spans="187:190" s="1" customFormat="1" ht="18" customHeight="1" x14ac:dyDescent="0.2">
      <c r="GE401"/>
      <c r="GF401"/>
      <c r="GG401"/>
      <c r="GH401"/>
    </row>
    <row r="402" spans="187:190" s="1" customFormat="1" ht="18" customHeight="1" x14ac:dyDescent="0.2">
      <c r="GE402"/>
      <c r="GF402"/>
      <c r="GG402"/>
      <c r="GH402"/>
    </row>
    <row r="403" spans="187:190" s="1" customFormat="1" ht="18" customHeight="1" x14ac:dyDescent="0.2">
      <c r="GE403"/>
      <c r="GF403"/>
      <c r="GG403"/>
      <c r="GH403"/>
    </row>
    <row r="404" spans="187:190" s="1" customFormat="1" ht="18" customHeight="1" x14ac:dyDescent="0.2">
      <c r="GE404"/>
      <c r="GF404"/>
      <c r="GG404"/>
      <c r="GH404"/>
    </row>
    <row r="405" spans="187:190" s="1" customFormat="1" ht="18" customHeight="1" x14ac:dyDescent="0.2">
      <c r="GE405"/>
      <c r="GF405"/>
      <c r="GG405"/>
      <c r="GH405"/>
    </row>
    <row r="406" spans="187:190" s="1" customFormat="1" ht="18" customHeight="1" x14ac:dyDescent="0.2">
      <c r="GE406"/>
      <c r="GF406"/>
      <c r="GG406"/>
      <c r="GH406"/>
    </row>
    <row r="407" spans="187:190" s="1" customFormat="1" ht="18" customHeight="1" x14ac:dyDescent="0.2">
      <c r="GE407"/>
      <c r="GF407"/>
      <c r="GG407"/>
      <c r="GH407"/>
    </row>
    <row r="408" spans="187:190" s="1" customFormat="1" ht="18" customHeight="1" x14ac:dyDescent="0.2">
      <c r="GE408"/>
      <c r="GF408"/>
      <c r="GG408"/>
      <c r="GH408"/>
    </row>
    <row r="409" spans="187:190" s="1" customFormat="1" ht="18" customHeight="1" x14ac:dyDescent="0.2">
      <c r="GE409"/>
      <c r="GF409"/>
      <c r="GG409"/>
      <c r="GH409"/>
    </row>
    <row r="410" spans="187:190" s="1" customFormat="1" ht="18" customHeight="1" x14ac:dyDescent="0.2">
      <c r="GE410"/>
      <c r="GF410"/>
      <c r="GG410"/>
      <c r="GH410"/>
    </row>
    <row r="411" spans="187:190" s="1" customFormat="1" ht="18" customHeight="1" x14ac:dyDescent="0.2">
      <c r="GE411"/>
      <c r="GF411"/>
      <c r="GG411"/>
      <c r="GH411"/>
    </row>
    <row r="412" spans="187:190" s="1" customFormat="1" ht="18" customHeight="1" x14ac:dyDescent="0.2">
      <c r="GE412"/>
      <c r="GF412"/>
      <c r="GG412"/>
      <c r="GH412"/>
    </row>
    <row r="413" spans="187:190" s="1" customFormat="1" ht="18" customHeight="1" x14ac:dyDescent="0.2">
      <c r="GE413"/>
      <c r="GF413"/>
      <c r="GG413"/>
      <c r="GH413"/>
    </row>
    <row r="414" spans="187:190" s="1" customFormat="1" ht="18" customHeight="1" x14ac:dyDescent="0.2">
      <c r="GE414"/>
      <c r="GF414"/>
      <c r="GG414"/>
      <c r="GH414"/>
    </row>
    <row r="415" spans="187:190" s="1" customFormat="1" ht="18" customHeight="1" x14ac:dyDescent="0.2">
      <c r="GE415"/>
      <c r="GF415"/>
      <c r="GG415"/>
      <c r="GH415"/>
    </row>
    <row r="416" spans="187:190" s="1" customFormat="1" ht="18" customHeight="1" x14ac:dyDescent="0.2">
      <c r="GE416"/>
      <c r="GF416"/>
      <c r="GG416"/>
      <c r="GH416"/>
    </row>
    <row r="417" spans="187:190" s="1" customFormat="1" ht="18" customHeight="1" x14ac:dyDescent="0.2">
      <c r="GE417"/>
      <c r="GF417"/>
      <c r="GG417"/>
      <c r="GH417"/>
    </row>
    <row r="418" spans="187:190" s="1" customFormat="1" ht="18" customHeight="1" x14ac:dyDescent="0.2">
      <c r="GE418"/>
      <c r="GF418"/>
      <c r="GG418"/>
      <c r="GH418"/>
    </row>
    <row r="419" spans="187:190" s="1" customFormat="1" ht="18" customHeight="1" x14ac:dyDescent="0.2">
      <c r="GE419"/>
      <c r="GF419"/>
      <c r="GG419"/>
      <c r="GH419"/>
    </row>
    <row r="420" spans="187:190" s="1" customFormat="1" ht="18" customHeight="1" x14ac:dyDescent="0.2">
      <c r="GE420"/>
      <c r="GF420"/>
      <c r="GG420"/>
      <c r="GH420"/>
    </row>
    <row r="421" spans="187:190" s="1" customFormat="1" ht="18" customHeight="1" x14ac:dyDescent="0.2">
      <c r="GE421"/>
      <c r="GF421"/>
      <c r="GG421"/>
      <c r="GH421"/>
    </row>
    <row r="422" spans="187:190" s="1" customFormat="1" ht="18" customHeight="1" x14ac:dyDescent="0.2">
      <c r="GE422"/>
      <c r="GF422"/>
      <c r="GG422"/>
      <c r="GH422"/>
    </row>
    <row r="423" spans="187:190" s="1" customFormat="1" ht="18" customHeight="1" x14ac:dyDescent="0.2">
      <c r="GE423"/>
      <c r="GF423"/>
      <c r="GG423"/>
      <c r="GH423"/>
    </row>
    <row r="424" spans="187:190" s="1" customFormat="1" ht="18" customHeight="1" x14ac:dyDescent="0.2">
      <c r="GE424"/>
      <c r="GF424"/>
      <c r="GG424"/>
      <c r="GH424"/>
    </row>
    <row r="425" spans="187:190" s="1" customFormat="1" ht="18" customHeight="1" x14ac:dyDescent="0.2">
      <c r="GE425"/>
      <c r="GF425"/>
      <c r="GG425"/>
      <c r="GH425"/>
    </row>
    <row r="426" spans="187:190" s="1" customFormat="1" ht="18" customHeight="1" x14ac:dyDescent="0.2">
      <c r="GE426"/>
      <c r="GF426"/>
      <c r="GG426"/>
      <c r="GH426"/>
    </row>
    <row r="427" spans="187:190" s="1" customFormat="1" ht="18" customHeight="1" x14ac:dyDescent="0.2">
      <c r="GE427"/>
      <c r="GF427"/>
      <c r="GG427"/>
      <c r="GH427"/>
    </row>
    <row r="428" spans="187:190" s="1" customFormat="1" ht="18" customHeight="1" x14ac:dyDescent="0.2">
      <c r="GE428"/>
      <c r="GF428"/>
      <c r="GG428"/>
      <c r="GH428"/>
    </row>
    <row r="429" spans="187:190" s="1" customFormat="1" ht="18" customHeight="1" x14ac:dyDescent="0.2">
      <c r="GE429"/>
      <c r="GF429"/>
      <c r="GG429"/>
      <c r="GH429"/>
    </row>
    <row r="430" spans="187:190" s="1" customFormat="1" ht="18" customHeight="1" x14ac:dyDescent="0.2">
      <c r="GE430"/>
      <c r="GF430"/>
      <c r="GG430"/>
      <c r="GH430"/>
    </row>
    <row r="431" spans="187:190" s="1" customFormat="1" ht="18" customHeight="1" x14ac:dyDescent="0.2">
      <c r="GE431"/>
      <c r="GF431"/>
      <c r="GG431"/>
      <c r="GH431"/>
    </row>
    <row r="432" spans="187:190" s="1" customFormat="1" ht="18" customHeight="1" x14ac:dyDescent="0.2">
      <c r="GE432"/>
      <c r="GF432"/>
      <c r="GG432"/>
      <c r="GH432"/>
    </row>
    <row r="433" spans="187:190" s="1" customFormat="1" ht="18" customHeight="1" x14ac:dyDescent="0.2">
      <c r="GE433"/>
      <c r="GF433"/>
      <c r="GG433"/>
      <c r="GH433"/>
    </row>
    <row r="434" spans="187:190" s="1" customFormat="1" ht="18" customHeight="1" x14ac:dyDescent="0.2">
      <c r="GE434"/>
      <c r="GF434"/>
      <c r="GG434"/>
      <c r="GH434"/>
    </row>
    <row r="435" spans="187:190" s="1" customFormat="1" ht="18" customHeight="1" x14ac:dyDescent="0.2">
      <c r="GE435"/>
      <c r="GF435"/>
      <c r="GG435"/>
      <c r="GH435"/>
    </row>
    <row r="436" spans="187:190" s="1" customFormat="1" ht="18" customHeight="1" x14ac:dyDescent="0.2">
      <c r="GE436"/>
      <c r="GF436"/>
      <c r="GG436"/>
      <c r="GH436"/>
    </row>
    <row r="437" spans="187:190" s="1" customFormat="1" ht="18" customHeight="1" x14ac:dyDescent="0.2">
      <c r="GE437"/>
      <c r="GF437"/>
      <c r="GG437"/>
      <c r="GH437"/>
    </row>
    <row r="438" spans="187:190" s="1" customFormat="1" ht="18" customHeight="1" x14ac:dyDescent="0.2">
      <c r="GE438"/>
      <c r="GF438"/>
      <c r="GG438"/>
      <c r="GH438"/>
    </row>
    <row r="439" spans="187:190" s="1" customFormat="1" ht="18" customHeight="1" x14ac:dyDescent="0.2">
      <c r="GE439"/>
      <c r="GF439"/>
      <c r="GG439"/>
      <c r="GH439"/>
    </row>
    <row r="440" spans="187:190" s="1" customFormat="1" ht="18" customHeight="1" x14ac:dyDescent="0.2">
      <c r="GE440"/>
      <c r="GF440"/>
      <c r="GG440"/>
      <c r="GH440"/>
    </row>
    <row r="441" spans="187:190" s="1" customFormat="1" ht="18" customHeight="1" x14ac:dyDescent="0.2">
      <c r="GE441"/>
      <c r="GF441"/>
      <c r="GG441"/>
      <c r="GH441"/>
    </row>
    <row r="442" spans="187:190" s="1" customFormat="1" ht="18" customHeight="1" x14ac:dyDescent="0.2">
      <c r="GE442"/>
      <c r="GF442"/>
      <c r="GG442"/>
      <c r="GH442"/>
    </row>
    <row r="443" spans="187:190" s="1" customFormat="1" ht="18" customHeight="1" x14ac:dyDescent="0.2">
      <c r="GE443"/>
      <c r="GF443"/>
      <c r="GG443"/>
      <c r="GH443"/>
    </row>
    <row r="444" spans="187:190" s="1" customFormat="1" ht="18" customHeight="1" x14ac:dyDescent="0.2">
      <c r="GE444"/>
      <c r="GF444"/>
      <c r="GG444"/>
      <c r="GH444"/>
    </row>
    <row r="445" spans="187:190" s="1" customFormat="1" ht="18" customHeight="1" x14ac:dyDescent="0.2">
      <c r="GE445"/>
      <c r="GF445"/>
      <c r="GG445"/>
      <c r="GH445"/>
    </row>
    <row r="446" spans="187:190" s="1" customFormat="1" ht="18" customHeight="1" x14ac:dyDescent="0.2">
      <c r="GE446"/>
      <c r="GF446"/>
      <c r="GG446"/>
      <c r="GH446"/>
    </row>
    <row r="447" spans="187:190" s="1" customFormat="1" ht="18" customHeight="1" x14ac:dyDescent="0.2">
      <c r="GE447"/>
      <c r="GF447"/>
      <c r="GG447"/>
      <c r="GH447"/>
    </row>
    <row r="448" spans="187:190" s="1" customFormat="1" ht="18" customHeight="1" x14ac:dyDescent="0.2">
      <c r="GE448"/>
      <c r="GF448"/>
      <c r="GG448"/>
      <c r="GH448"/>
    </row>
    <row r="449" spans="187:190" s="1" customFormat="1" ht="18" customHeight="1" x14ac:dyDescent="0.2">
      <c r="GE449"/>
      <c r="GF449"/>
      <c r="GG449"/>
      <c r="GH449"/>
    </row>
    <row r="450" spans="187:190" s="1" customFormat="1" ht="18" customHeight="1" x14ac:dyDescent="0.2">
      <c r="GE450"/>
      <c r="GF450"/>
      <c r="GG450"/>
      <c r="GH450"/>
    </row>
    <row r="451" spans="187:190" s="1" customFormat="1" ht="18" customHeight="1" x14ac:dyDescent="0.2">
      <c r="GE451"/>
      <c r="GF451"/>
      <c r="GG451"/>
      <c r="GH451"/>
    </row>
    <row r="452" spans="187:190" s="1" customFormat="1" ht="18" customHeight="1" x14ac:dyDescent="0.2">
      <c r="GE452"/>
      <c r="GF452"/>
      <c r="GG452"/>
      <c r="GH452"/>
    </row>
    <row r="453" spans="187:190" s="1" customFormat="1" ht="18" customHeight="1" x14ac:dyDescent="0.2">
      <c r="GE453"/>
      <c r="GF453"/>
      <c r="GG453"/>
      <c r="GH453"/>
    </row>
    <row r="454" spans="187:190" s="1" customFormat="1" ht="18" customHeight="1" x14ac:dyDescent="0.2">
      <c r="GE454"/>
      <c r="GF454"/>
      <c r="GG454"/>
      <c r="GH454"/>
    </row>
    <row r="455" spans="187:190" s="1" customFormat="1" ht="18" customHeight="1" x14ac:dyDescent="0.2">
      <c r="GE455"/>
      <c r="GF455"/>
      <c r="GG455"/>
      <c r="GH455"/>
    </row>
    <row r="456" spans="187:190" s="1" customFormat="1" ht="18" customHeight="1" x14ac:dyDescent="0.2">
      <c r="GE456"/>
      <c r="GF456"/>
      <c r="GG456"/>
      <c r="GH456"/>
    </row>
    <row r="457" spans="187:190" s="1" customFormat="1" ht="18" customHeight="1" x14ac:dyDescent="0.2">
      <c r="GE457"/>
      <c r="GF457"/>
      <c r="GG457"/>
      <c r="GH457"/>
    </row>
    <row r="458" spans="187:190" s="1" customFormat="1" ht="18" customHeight="1" x14ac:dyDescent="0.2">
      <c r="GE458"/>
      <c r="GF458"/>
      <c r="GG458"/>
      <c r="GH458"/>
    </row>
    <row r="459" spans="187:190" s="1" customFormat="1" ht="18" customHeight="1" x14ac:dyDescent="0.2">
      <c r="GE459"/>
      <c r="GF459"/>
      <c r="GG459"/>
      <c r="GH459"/>
    </row>
    <row r="460" spans="187:190" s="1" customFormat="1" ht="18" customHeight="1" x14ac:dyDescent="0.2">
      <c r="GE460"/>
      <c r="GF460"/>
      <c r="GG460"/>
      <c r="GH460"/>
    </row>
    <row r="461" spans="187:190" s="1" customFormat="1" ht="18" customHeight="1" x14ac:dyDescent="0.2">
      <c r="GE461"/>
      <c r="GF461"/>
      <c r="GG461"/>
      <c r="GH461"/>
    </row>
    <row r="462" spans="187:190" s="1" customFormat="1" ht="18" customHeight="1" x14ac:dyDescent="0.2">
      <c r="GE462"/>
      <c r="GF462"/>
      <c r="GG462"/>
      <c r="GH462"/>
    </row>
    <row r="463" spans="187:190" s="1" customFormat="1" ht="18" customHeight="1" x14ac:dyDescent="0.2">
      <c r="GE463"/>
      <c r="GF463"/>
      <c r="GG463"/>
      <c r="GH463"/>
    </row>
    <row r="464" spans="187:190" s="1" customFormat="1" ht="18" customHeight="1" x14ac:dyDescent="0.2">
      <c r="GE464"/>
      <c r="GF464"/>
      <c r="GG464"/>
      <c r="GH464"/>
    </row>
    <row r="465" spans="187:190" s="1" customFormat="1" ht="18" customHeight="1" x14ac:dyDescent="0.2">
      <c r="GE465"/>
      <c r="GF465"/>
      <c r="GG465"/>
      <c r="GH465"/>
    </row>
    <row r="466" spans="187:190" s="1" customFormat="1" ht="18" customHeight="1" x14ac:dyDescent="0.2">
      <c r="GE466"/>
      <c r="GF466"/>
      <c r="GG466"/>
      <c r="GH466"/>
    </row>
    <row r="467" spans="187:190" s="1" customFormat="1" ht="18" customHeight="1" x14ac:dyDescent="0.2">
      <c r="GE467"/>
      <c r="GF467"/>
      <c r="GG467"/>
      <c r="GH467"/>
    </row>
    <row r="468" spans="187:190" s="1" customFormat="1" ht="18" customHeight="1" x14ac:dyDescent="0.2">
      <c r="GE468"/>
      <c r="GF468"/>
      <c r="GG468"/>
      <c r="GH468"/>
    </row>
    <row r="469" spans="187:190" s="1" customFormat="1" ht="18" customHeight="1" x14ac:dyDescent="0.2">
      <c r="GE469"/>
      <c r="GF469"/>
      <c r="GG469"/>
      <c r="GH469"/>
    </row>
    <row r="470" spans="187:190" s="1" customFormat="1" ht="18" customHeight="1" x14ac:dyDescent="0.2">
      <c r="GE470"/>
      <c r="GF470"/>
      <c r="GG470"/>
      <c r="GH470"/>
    </row>
    <row r="471" spans="187:190" s="1" customFormat="1" ht="18" customHeight="1" x14ac:dyDescent="0.2">
      <c r="GE471"/>
      <c r="GF471"/>
      <c r="GG471"/>
      <c r="GH471"/>
    </row>
    <row r="472" spans="187:190" s="1" customFormat="1" ht="18" customHeight="1" x14ac:dyDescent="0.2">
      <c r="GE472"/>
      <c r="GF472"/>
      <c r="GG472"/>
      <c r="GH472"/>
    </row>
    <row r="473" spans="187:190" s="1" customFormat="1" ht="18" customHeight="1" x14ac:dyDescent="0.2">
      <c r="GE473"/>
      <c r="GF473"/>
      <c r="GG473"/>
      <c r="GH473"/>
    </row>
    <row r="474" spans="187:190" s="1" customFormat="1" ht="18" customHeight="1" x14ac:dyDescent="0.2">
      <c r="GE474"/>
      <c r="GF474"/>
      <c r="GG474"/>
      <c r="GH474"/>
    </row>
    <row r="475" spans="187:190" s="1" customFormat="1" ht="18" customHeight="1" x14ac:dyDescent="0.2">
      <c r="GE475"/>
      <c r="GF475"/>
      <c r="GG475"/>
      <c r="GH475"/>
    </row>
    <row r="476" spans="187:190" s="1" customFormat="1" ht="18" customHeight="1" x14ac:dyDescent="0.2">
      <c r="GE476"/>
      <c r="GF476"/>
      <c r="GG476"/>
      <c r="GH476"/>
    </row>
    <row r="477" spans="187:190" s="1" customFormat="1" ht="18" customHeight="1" x14ac:dyDescent="0.2">
      <c r="GE477"/>
      <c r="GF477"/>
      <c r="GG477"/>
      <c r="GH477"/>
    </row>
    <row r="478" spans="187:190" s="1" customFormat="1" ht="18" customHeight="1" x14ac:dyDescent="0.2">
      <c r="GE478"/>
      <c r="GF478"/>
      <c r="GG478"/>
      <c r="GH478"/>
    </row>
    <row r="479" spans="187:190" s="1" customFormat="1" ht="18" customHeight="1" x14ac:dyDescent="0.2">
      <c r="GE479"/>
      <c r="GF479"/>
      <c r="GG479"/>
      <c r="GH479"/>
    </row>
    <row r="480" spans="187:190" s="1" customFormat="1" ht="18" customHeight="1" x14ac:dyDescent="0.2">
      <c r="GE480"/>
      <c r="GF480"/>
      <c r="GG480"/>
      <c r="GH480"/>
    </row>
    <row r="481" spans="187:190" s="1" customFormat="1" ht="18" customHeight="1" x14ac:dyDescent="0.2">
      <c r="GE481"/>
      <c r="GF481"/>
      <c r="GG481"/>
      <c r="GH481"/>
    </row>
    <row r="482" spans="187:190" s="1" customFormat="1" ht="18" customHeight="1" x14ac:dyDescent="0.2">
      <c r="GE482"/>
      <c r="GF482"/>
      <c r="GG482"/>
      <c r="GH482"/>
    </row>
    <row r="483" spans="187:190" s="1" customFormat="1" ht="18" customHeight="1" x14ac:dyDescent="0.2">
      <c r="GE483"/>
      <c r="GF483"/>
      <c r="GG483"/>
      <c r="GH483"/>
    </row>
    <row r="484" spans="187:190" s="1" customFormat="1" ht="18" customHeight="1" x14ac:dyDescent="0.2">
      <c r="GE484"/>
      <c r="GF484"/>
      <c r="GG484"/>
      <c r="GH484"/>
    </row>
    <row r="485" spans="187:190" s="1" customFormat="1" ht="18" customHeight="1" x14ac:dyDescent="0.2">
      <c r="GE485"/>
      <c r="GF485"/>
      <c r="GG485"/>
      <c r="GH485"/>
    </row>
    <row r="486" spans="187:190" s="1" customFormat="1" ht="18" customHeight="1" x14ac:dyDescent="0.2">
      <c r="GE486"/>
      <c r="GF486"/>
      <c r="GG486"/>
      <c r="GH486"/>
    </row>
    <row r="487" spans="187:190" s="1" customFormat="1" ht="18" customHeight="1" x14ac:dyDescent="0.2">
      <c r="GE487"/>
      <c r="GF487"/>
      <c r="GG487"/>
      <c r="GH487"/>
    </row>
    <row r="488" spans="187:190" s="1" customFormat="1" ht="18" customHeight="1" x14ac:dyDescent="0.2">
      <c r="GE488"/>
      <c r="GF488"/>
      <c r="GG488"/>
      <c r="GH488"/>
    </row>
    <row r="489" spans="187:190" s="1" customFormat="1" ht="18" customHeight="1" x14ac:dyDescent="0.2">
      <c r="GE489"/>
      <c r="GF489"/>
      <c r="GG489"/>
      <c r="GH489"/>
    </row>
    <row r="490" spans="187:190" s="1" customFormat="1" ht="18" customHeight="1" x14ac:dyDescent="0.2">
      <c r="GE490"/>
      <c r="GF490"/>
      <c r="GG490"/>
      <c r="GH490"/>
    </row>
    <row r="491" spans="187:190" s="1" customFormat="1" ht="18" customHeight="1" x14ac:dyDescent="0.2">
      <c r="GE491"/>
      <c r="GF491"/>
      <c r="GG491"/>
      <c r="GH491"/>
    </row>
    <row r="492" spans="187:190" s="1" customFormat="1" ht="18" customHeight="1" x14ac:dyDescent="0.2">
      <c r="GE492"/>
      <c r="GF492"/>
      <c r="GG492"/>
      <c r="GH492"/>
    </row>
    <row r="493" spans="187:190" s="1" customFormat="1" ht="18" customHeight="1" x14ac:dyDescent="0.2">
      <c r="GE493"/>
      <c r="GF493"/>
      <c r="GG493"/>
      <c r="GH493"/>
    </row>
    <row r="494" spans="187:190" s="1" customFormat="1" ht="18" customHeight="1" x14ac:dyDescent="0.2">
      <c r="GE494"/>
      <c r="GF494"/>
      <c r="GG494"/>
      <c r="GH494"/>
    </row>
    <row r="495" spans="187:190" s="1" customFormat="1" ht="18" customHeight="1" x14ac:dyDescent="0.2">
      <c r="GE495"/>
      <c r="GF495"/>
      <c r="GG495"/>
      <c r="GH495"/>
    </row>
    <row r="496" spans="187:190" s="1" customFormat="1" ht="18" customHeight="1" x14ac:dyDescent="0.2">
      <c r="GE496"/>
      <c r="GF496"/>
      <c r="GG496"/>
      <c r="GH496"/>
    </row>
    <row r="497" spans="187:190" s="1" customFormat="1" ht="18" customHeight="1" x14ac:dyDescent="0.2">
      <c r="GE497"/>
      <c r="GF497"/>
      <c r="GG497"/>
      <c r="GH497"/>
    </row>
    <row r="498" spans="187:190" s="1" customFormat="1" ht="18" customHeight="1" x14ac:dyDescent="0.2">
      <c r="GE498"/>
      <c r="GF498"/>
      <c r="GG498"/>
      <c r="GH498"/>
    </row>
    <row r="499" spans="187:190" s="1" customFormat="1" ht="18" customHeight="1" x14ac:dyDescent="0.2">
      <c r="GE499"/>
      <c r="GF499"/>
      <c r="GG499"/>
      <c r="GH499"/>
    </row>
    <row r="500" spans="187:190" s="1" customFormat="1" ht="18" customHeight="1" x14ac:dyDescent="0.2">
      <c r="GE500"/>
      <c r="GF500"/>
      <c r="GG500"/>
      <c r="GH500"/>
    </row>
    <row r="501" spans="187:190" s="1" customFormat="1" ht="18" customHeight="1" x14ac:dyDescent="0.2">
      <c r="GE501"/>
      <c r="GF501"/>
      <c r="GG501"/>
      <c r="GH501"/>
    </row>
    <row r="502" spans="187:190" s="1" customFormat="1" ht="18" customHeight="1" x14ac:dyDescent="0.2">
      <c r="GE502"/>
      <c r="GF502"/>
      <c r="GG502"/>
      <c r="GH502"/>
    </row>
    <row r="503" spans="187:190" s="1" customFormat="1" ht="18" customHeight="1" x14ac:dyDescent="0.2">
      <c r="GE503"/>
      <c r="GF503"/>
      <c r="GG503"/>
      <c r="GH503"/>
    </row>
    <row r="504" spans="187:190" s="1" customFormat="1" ht="18" customHeight="1" x14ac:dyDescent="0.2">
      <c r="GE504"/>
      <c r="GF504"/>
      <c r="GG504"/>
      <c r="GH504"/>
    </row>
    <row r="505" spans="187:190" s="1" customFormat="1" ht="18" customHeight="1" x14ac:dyDescent="0.2">
      <c r="GE505"/>
      <c r="GF505"/>
      <c r="GG505"/>
      <c r="GH505"/>
    </row>
    <row r="506" spans="187:190" s="1" customFormat="1" ht="18" customHeight="1" x14ac:dyDescent="0.2">
      <c r="GE506"/>
      <c r="GF506"/>
      <c r="GG506"/>
      <c r="GH506"/>
    </row>
    <row r="507" spans="187:190" s="1" customFormat="1" ht="18" customHeight="1" x14ac:dyDescent="0.2">
      <c r="GE507"/>
      <c r="GF507"/>
      <c r="GG507"/>
      <c r="GH507"/>
    </row>
    <row r="508" spans="187:190" s="1" customFormat="1" ht="18" customHeight="1" x14ac:dyDescent="0.2">
      <c r="GE508"/>
      <c r="GF508"/>
      <c r="GG508"/>
      <c r="GH508"/>
    </row>
    <row r="509" spans="187:190" s="1" customFormat="1" ht="18" customHeight="1" x14ac:dyDescent="0.2">
      <c r="GE509"/>
      <c r="GF509"/>
      <c r="GG509"/>
      <c r="GH509"/>
    </row>
    <row r="510" spans="187:190" s="1" customFormat="1" ht="18" customHeight="1" x14ac:dyDescent="0.2">
      <c r="GE510"/>
      <c r="GF510"/>
      <c r="GG510"/>
      <c r="GH510"/>
    </row>
    <row r="511" spans="187:190" s="1" customFormat="1" ht="18" customHeight="1" x14ac:dyDescent="0.2">
      <c r="GE511"/>
      <c r="GF511"/>
      <c r="GG511"/>
      <c r="GH511"/>
    </row>
    <row r="512" spans="187:190" s="1" customFormat="1" ht="18" customHeight="1" x14ac:dyDescent="0.2">
      <c r="GE512"/>
      <c r="GF512"/>
      <c r="GG512"/>
      <c r="GH512"/>
    </row>
    <row r="513" spans="187:190" s="1" customFormat="1" ht="18" customHeight="1" x14ac:dyDescent="0.2">
      <c r="GE513"/>
      <c r="GF513"/>
      <c r="GG513"/>
      <c r="GH513"/>
    </row>
    <row r="514" spans="187:190" s="1" customFormat="1" ht="18" customHeight="1" x14ac:dyDescent="0.2">
      <c r="GE514"/>
      <c r="GF514"/>
      <c r="GG514"/>
      <c r="GH514"/>
    </row>
    <row r="515" spans="187:190" s="1" customFormat="1" ht="18" customHeight="1" x14ac:dyDescent="0.2">
      <c r="GE515"/>
      <c r="GF515"/>
      <c r="GG515"/>
      <c r="GH515"/>
    </row>
    <row r="516" spans="187:190" s="1" customFormat="1" ht="18" customHeight="1" x14ac:dyDescent="0.2">
      <c r="GE516"/>
      <c r="GF516"/>
      <c r="GG516"/>
      <c r="GH516"/>
    </row>
    <row r="517" spans="187:190" s="1" customFormat="1" ht="18" customHeight="1" x14ac:dyDescent="0.2">
      <c r="GE517"/>
      <c r="GF517"/>
      <c r="GG517"/>
      <c r="GH517"/>
    </row>
    <row r="518" spans="187:190" s="1" customFormat="1" ht="18" customHeight="1" x14ac:dyDescent="0.2">
      <c r="GE518"/>
      <c r="GF518"/>
      <c r="GG518"/>
      <c r="GH518"/>
    </row>
    <row r="519" spans="187:190" s="1" customFormat="1" ht="18" customHeight="1" x14ac:dyDescent="0.2">
      <c r="GE519"/>
      <c r="GF519"/>
      <c r="GG519"/>
      <c r="GH519"/>
    </row>
    <row r="520" spans="187:190" s="1" customFormat="1" ht="18" customHeight="1" x14ac:dyDescent="0.2">
      <c r="GE520"/>
      <c r="GF520"/>
      <c r="GG520"/>
      <c r="GH520"/>
    </row>
    <row r="521" spans="187:190" s="1" customFormat="1" ht="18" customHeight="1" x14ac:dyDescent="0.2">
      <c r="GE521"/>
      <c r="GF521"/>
      <c r="GG521"/>
      <c r="GH521"/>
    </row>
    <row r="522" spans="187:190" s="1" customFormat="1" ht="18" customHeight="1" x14ac:dyDescent="0.2">
      <c r="GE522"/>
      <c r="GF522"/>
      <c r="GG522"/>
      <c r="GH522"/>
    </row>
    <row r="523" spans="187:190" s="1" customFormat="1" ht="18" customHeight="1" x14ac:dyDescent="0.2">
      <c r="GE523"/>
      <c r="GF523"/>
      <c r="GG523"/>
      <c r="GH523"/>
    </row>
    <row r="524" spans="187:190" s="1" customFormat="1" ht="18" customHeight="1" x14ac:dyDescent="0.2">
      <c r="GE524"/>
      <c r="GF524"/>
      <c r="GG524"/>
      <c r="GH524"/>
    </row>
    <row r="525" spans="187:190" s="1" customFormat="1" ht="18" customHeight="1" x14ac:dyDescent="0.2">
      <c r="GE525"/>
      <c r="GF525"/>
      <c r="GG525"/>
      <c r="GH525"/>
    </row>
    <row r="526" spans="187:190" s="1" customFormat="1" ht="18" customHeight="1" x14ac:dyDescent="0.2">
      <c r="GE526"/>
      <c r="GF526"/>
      <c r="GG526"/>
      <c r="GH526"/>
    </row>
    <row r="527" spans="187:190" s="1" customFormat="1" ht="18" customHeight="1" x14ac:dyDescent="0.2">
      <c r="GE527"/>
      <c r="GF527"/>
      <c r="GG527"/>
      <c r="GH527"/>
    </row>
    <row r="528" spans="187:190" s="1" customFormat="1" ht="18" customHeight="1" x14ac:dyDescent="0.2">
      <c r="GE528"/>
      <c r="GF528"/>
      <c r="GG528"/>
      <c r="GH528"/>
    </row>
    <row r="529" spans="187:190" s="1" customFormat="1" ht="18" customHeight="1" x14ac:dyDescent="0.2">
      <c r="GE529"/>
      <c r="GF529"/>
      <c r="GG529"/>
      <c r="GH529"/>
    </row>
    <row r="530" spans="187:190" s="1" customFormat="1" ht="18" customHeight="1" x14ac:dyDescent="0.2">
      <c r="GE530"/>
      <c r="GF530"/>
      <c r="GG530"/>
      <c r="GH530"/>
    </row>
    <row r="531" spans="187:190" s="1" customFormat="1" ht="18" customHeight="1" x14ac:dyDescent="0.2">
      <c r="GE531"/>
      <c r="GF531"/>
      <c r="GG531"/>
      <c r="GH531"/>
    </row>
    <row r="532" spans="187:190" s="1" customFormat="1" ht="18" customHeight="1" x14ac:dyDescent="0.2">
      <c r="GE532"/>
      <c r="GF532"/>
      <c r="GG532"/>
      <c r="GH532"/>
    </row>
    <row r="533" spans="187:190" s="1" customFormat="1" ht="18" customHeight="1" x14ac:dyDescent="0.2">
      <c r="GE533"/>
      <c r="GF533"/>
      <c r="GG533"/>
      <c r="GH533"/>
    </row>
    <row r="534" spans="187:190" s="1" customFormat="1" ht="18" customHeight="1" x14ac:dyDescent="0.2">
      <c r="GE534"/>
      <c r="GF534"/>
      <c r="GG534"/>
      <c r="GH534"/>
    </row>
    <row r="535" spans="187:190" s="1" customFormat="1" ht="18" customHeight="1" x14ac:dyDescent="0.2">
      <c r="GE535"/>
      <c r="GF535"/>
      <c r="GG535"/>
      <c r="GH535"/>
    </row>
    <row r="536" spans="187:190" s="1" customFormat="1" ht="18" customHeight="1" x14ac:dyDescent="0.2">
      <c r="GE536"/>
      <c r="GF536"/>
      <c r="GG536"/>
      <c r="GH536"/>
    </row>
    <row r="537" spans="187:190" s="1" customFormat="1" ht="18" customHeight="1" x14ac:dyDescent="0.2">
      <c r="GE537"/>
      <c r="GF537"/>
      <c r="GG537"/>
      <c r="GH537"/>
    </row>
    <row r="538" spans="187:190" s="1" customFormat="1" ht="18" customHeight="1" x14ac:dyDescent="0.2">
      <c r="GE538"/>
      <c r="GF538"/>
      <c r="GG538"/>
      <c r="GH538"/>
    </row>
    <row r="539" spans="187:190" s="1" customFormat="1" ht="18" customHeight="1" x14ac:dyDescent="0.2">
      <c r="GE539"/>
      <c r="GF539"/>
      <c r="GG539"/>
      <c r="GH539"/>
    </row>
    <row r="540" spans="187:190" s="1" customFormat="1" ht="18" customHeight="1" x14ac:dyDescent="0.2">
      <c r="GE540"/>
      <c r="GF540"/>
      <c r="GG540"/>
      <c r="GH540"/>
    </row>
    <row r="541" spans="187:190" s="1" customFormat="1" ht="18" customHeight="1" x14ac:dyDescent="0.2">
      <c r="GE541"/>
      <c r="GF541"/>
      <c r="GG541"/>
      <c r="GH541"/>
    </row>
    <row r="542" spans="187:190" s="1" customFormat="1" ht="18" customHeight="1" x14ac:dyDescent="0.2">
      <c r="GE542"/>
      <c r="GF542"/>
      <c r="GG542"/>
      <c r="GH542"/>
    </row>
    <row r="543" spans="187:190" s="1" customFormat="1" ht="18" customHeight="1" x14ac:dyDescent="0.2">
      <c r="GE543"/>
      <c r="GF543"/>
      <c r="GG543"/>
      <c r="GH543"/>
    </row>
    <row r="544" spans="187:190" s="1" customFormat="1" ht="18" customHeight="1" x14ac:dyDescent="0.2">
      <c r="GE544"/>
      <c r="GF544"/>
      <c r="GG544"/>
      <c r="GH544"/>
    </row>
    <row r="545" spans="187:190" s="1" customFormat="1" ht="18" customHeight="1" x14ac:dyDescent="0.2">
      <c r="GE545"/>
      <c r="GF545"/>
      <c r="GG545"/>
      <c r="GH545"/>
    </row>
    <row r="546" spans="187:190" s="1" customFormat="1" ht="18" customHeight="1" x14ac:dyDescent="0.2">
      <c r="GE546"/>
      <c r="GF546"/>
      <c r="GG546"/>
      <c r="GH546"/>
    </row>
    <row r="547" spans="187:190" s="1" customFormat="1" ht="18" customHeight="1" x14ac:dyDescent="0.2">
      <c r="GE547"/>
      <c r="GF547"/>
      <c r="GG547"/>
      <c r="GH547"/>
    </row>
    <row r="548" spans="187:190" s="1" customFormat="1" ht="18" customHeight="1" x14ac:dyDescent="0.2">
      <c r="GE548"/>
      <c r="GF548"/>
      <c r="GG548"/>
      <c r="GH548"/>
    </row>
    <row r="549" spans="187:190" s="1" customFormat="1" ht="18" customHeight="1" x14ac:dyDescent="0.2">
      <c r="GE549"/>
      <c r="GF549"/>
      <c r="GG549"/>
      <c r="GH549"/>
    </row>
    <row r="550" spans="187:190" s="1" customFormat="1" ht="18" customHeight="1" x14ac:dyDescent="0.2">
      <c r="GE550"/>
      <c r="GF550"/>
      <c r="GG550"/>
      <c r="GH550"/>
    </row>
    <row r="551" spans="187:190" s="1" customFormat="1" ht="18" customHeight="1" x14ac:dyDescent="0.2">
      <c r="GE551"/>
      <c r="GF551"/>
      <c r="GG551"/>
      <c r="GH551"/>
    </row>
    <row r="552" spans="187:190" s="1" customFormat="1" ht="18" customHeight="1" x14ac:dyDescent="0.2">
      <c r="GE552"/>
      <c r="GF552"/>
      <c r="GG552"/>
      <c r="GH552"/>
    </row>
    <row r="553" spans="187:190" s="1" customFormat="1" ht="18" customHeight="1" x14ac:dyDescent="0.2">
      <c r="GE553"/>
      <c r="GF553"/>
      <c r="GG553"/>
      <c r="GH553"/>
    </row>
    <row r="554" spans="187:190" s="1" customFormat="1" ht="18" customHeight="1" x14ac:dyDescent="0.2">
      <c r="GE554"/>
      <c r="GF554"/>
      <c r="GG554"/>
      <c r="GH554"/>
    </row>
    <row r="555" spans="187:190" s="1" customFormat="1" ht="18" customHeight="1" x14ac:dyDescent="0.2">
      <c r="GE555"/>
      <c r="GF555"/>
      <c r="GG555"/>
      <c r="GH555"/>
    </row>
    <row r="556" spans="187:190" s="1" customFormat="1" ht="18" customHeight="1" x14ac:dyDescent="0.2">
      <c r="GE556"/>
      <c r="GF556"/>
      <c r="GG556"/>
      <c r="GH556"/>
    </row>
    <row r="557" spans="187:190" s="1" customFormat="1" ht="18" customHeight="1" x14ac:dyDescent="0.2">
      <c r="GE557"/>
      <c r="GF557"/>
      <c r="GG557"/>
      <c r="GH557"/>
    </row>
    <row r="558" spans="187:190" s="1" customFormat="1" ht="18" customHeight="1" x14ac:dyDescent="0.2">
      <c r="GE558"/>
      <c r="GF558"/>
      <c r="GG558"/>
      <c r="GH558"/>
    </row>
    <row r="559" spans="187:190" s="1" customFormat="1" ht="18" customHeight="1" x14ac:dyDescent="0.2">
      <c r="GE559"/>
      <c r="GF559"/>
      <c r="GG559"/>
      <c r="GH559"/>
    </row>
    <row r="560" spans="187:190" s="1" customFormat="1" ht="18" customHeight="1" x14ac:dyDescent="0.2">
      <c r="GE560"/>
      <c r="GF560"/>
      <c r="GG560"/>
      <c r="GH560"/>
    </row>
    <row r="561" spans="187:190" s="1" customFormat="1" ht="18" customHeight="1" x14ac:dyDescent="0.2">
      <c r="GE561"/>
      <c r="GF561"/>
      <c r="GG561"/>
      <c r="GH561"/>
    </row>
    <row r="562" spans="187:190" s="1" customFormat="1" ht="18" customHeight="1" x14ac:dyDescent="0.2">
      <c r="GE562"/>
      <c r="GF562"/>
      <c r="GG562"/>
      <c r="GH562"/>
    </row>
    <row r="563" spans="187:190" s="1" customFormat="1" ht="18" customHeight="1" x14ac:dyDescent="0.2">
      <c r="GE563"/>
      <c r="GF563"/>
      <c r="GG563"/>
      <c r="GH563"/>
    </row>
    <row r="564" spans="187:190" s="1" customFormat="1" ht="18" customHeight="1" x14ac:dyDescent="0.2">
      <c r="GE564"/>
      <c r="GF564"/>
      <c r="GG564"/>
      <c r="GH564"/>
    </row>
    <row r="565" spans="187:190" s="1" customFormat="1" ht="18" customHeight="1" x14ac:dyDescent="0.2">
      <c r="GE565"/>
      <c r="GF565"/>
      <c r="GG565"/>
      <c r="GH565"/>
    </row>
    <row r="566" spans="187:190" s="1" customFormat="1" ht="18" customHeight="1" x14ac:dyDescent="0.2">
      <c r="GE566"/>
      <c r="GF566"/>
      <c r="GG566"/>
      <c r="GH566"/>
    </row>
    <row r="567" spans="187:190" s="1" customFormat="1" ht="18" customHeight="1" x14ac:dyDescent="0.2">
      <c r="GE567"/>
      <c r="GF567"/>
      <c r="GG567"/>
      <c r="GH567"/>
    </row>
    <row r="568" spans="187:190" s="1" customFormat="1" ht="18" customHeight="1" x14ac:dyDescent="0.2">
      <c r="GE568"/>
      <c r="GF568"/>
      <c r="GG568"/>
      <c r="GH568"/>
    </row>
    <row r="569" spans="187:190" s="1" customFormat="1" ht="18" customHeight="1" x14ac:dyDescent="0.2">
      <c r="GE569"/>
      <c r="GF569"/>
      <c r="GG569"/>
      <c r="GH569"/>
    </row>
    <row r="570" spans="187:190" s="1" customFormat="1" ht="18" customHeight="1" x14ac:dyDescent="0.2">
      <c r="GE570"/>
      <c r="GF570"/>
      <c r="GG570"/>
      <c r="GH570"/>
    </row>
    <row r="571" spans="187:190" s="1" customFormat="1" ht="18" customHeight="1" x14ac:dyDescent="0.2">
      <c r="GE571"/>
      <c r="GF571"/>
      <c r="GG571"/>
      <c r="GH571"/>
    </row>
    <row r="572" spans="187:190" s="1" customFormat="1" ht="18" customHeight="1" x14ac:dyDescent="0.2">
      <c r="GE572"/>
      <c r="GF572"/>
      <c r="GG572"/>
      <c r="GH572"/>
    </row>
    <row r="573" spans="187:190" s="1" customFormat="1" ht="18" customHeight="1" x14ac:dyDescent="0.2">
      <c r="GE573"/>
      <c r="GF573"/>
      <c r="GG573"/>
      <c r="GH573"/>
    </row>
    <row r="574" spans="187:190" s="1" customFormat="1" ht="18" customHeight="1" x14ac:dyDescent="0.2">
      <c r="GE574"/>
      <c r="GF574"/>
      <c r="GG574"/>
      <c r="GH574"/>
    </row>
    <row r="575" spans="187:190" s="1" customFormat="1" ht="18" customHeight="1" x14ac:dyDescent="0.2">
      <c r="GE575"/>
      <c r="GF575"/>
      <c r="GG575"/>
      <c r="GH575"/>
    </row>
    <row r="576" spans="187:190" s="1" customFormat="1" ht="18" customHeight="1" x14ac:dyDescent="0.2">
      <c r="GE576"/>
      <c r="GF576"/>
      <c r="GG576"/>
      <c r="GH576"/>
    </row>
    <row r="577" spans="187:190" s="1" customFormat="1" ht="18" customHeight="1" x14ac:dyDescent="0.2">
      <c r="GE577"/>
      <c r="GF577"/>
      <c r="GG577"/>
      <c r="GH577"/>
    </row>
    <row r="578" spans="187:190" s="1" customFormat="1" ht="18" customHeight="1" x14ac:dyDescent="0.2">
      <c r="GE578"/>
      <c r="GF578"/>
      <c r="GG578"/>
      <c r="GH578"/>
    </row>
    <row r="579" spans="187:190" s="1" customFormat="1" ht="18" customHeight="1" x14ac:dyDescent="0.2">
      <c r="GE579"/>
      <c r="GF579"/>
      <c r="GG579"/>
      <c r="GH579"/>
    </row>
    <row r="580" spans="187:190" s="1" customFormat="1" ht="18" customHeight="1" x14ac:dyDescent="0.2">
      <c r="GE580"/>
      <c r="GF580"/>
      <c r="GG580"/>
      <c r="GH580"/>
    </row>
    <row r="581" spans="187:190" s="1" customFormat="1" ht="18" customHeight="1" x14ac:dyDescent="0.2">
      <c r="GE581"/>
      <c r="GF581"/>
      <c r="GG581"/>
      <c r="GH581"/>
    </row>
    <row r="582" spans="187:190" s="1" customFormat="1" ht="18" customHeight="1" x14ac:dyDescent="0.2">
      <c r="GE582"/>
      <c r="GF582"/>
      <c r="GG582"/>
      <c r="GH582"/>
    </row>
    <row r="583" spans="187:190" s="1" customFormat="1" ht="18" customHeight="1" x14ac:dyDescent="0.2">
      <c r="GE583"/>
      <c r="GF583"/>
      <c r="GG583"/>
      <c r="GH583"/>
    </row>
    <row r="584" spans="187:190" s="1" customFormat="1" ht="18" customHeight="1" x14ac:dyDescent="0.2">
      <c r="GE584"/>
      <c r="GF584"/>
      <c r="GG584"/>
      <c r="GH584"/>
    </row>
    <row r="585" spans="187:190" s="1" customFormat="1" ht="18" customHeight="1" x14ac:dyDescent="0.2">
      <c r="GE585"/>
      <c r="GF585"/>
      <c r="GG585"/>
      <c r="GH585"/>
    </row>
    <row r="586" spans="187:190" s="1" customFormat="1" ht="18" customHeight="1" x14ac:dyDescent="0.2">
      <c r="GE586"/>
      <c r="GF586"/>
      <c r="GG586"/>
      <c r="GH586"/>
    </row>
    <row r="587" spans="187:190" s="1" customFormat="1" ht="18" customHeight="1" x14ac:dyDescent="0.2">
      <c r="GE587"/>
      <c r="GF587"/>
      <c r="GG587"/>
      <c r="GH587"/>
    </row>
    <row r="588" spans="187:190" s="1" customFormat="1" ht="18" customHeight="1" x14ac:dyDescent="0.2">
      <c r="GE588"/>
      <c r="GF588"/>
      <c r="GG588"/>
      <c r="GH588"/>
    </row>
    <row r="589" spans="187:190" s="1" customFormat="1" ht="18" customHeight="1" x14ac:dyDescent="0.2">
      <c r="GE589"/>
      <c r="GF589"/>
      <c r="GG589"/>
      <c r="GH589"/>
    </row>
    <row r="590" spans="187:190" s="1" customFormat="1" ht="18" customHeight="1" x14ac:dyDescent="0.2">
      <c r="GE590"/>
      <c r="GF590"/>
      <c r="GG590"/>
      <c r="GH590"/>
    </row>
    <row r="591" spans="187:190" s="1" customFormat="1" ht="18" customHeight="1" x14ac:dyDescent="0.2">
      <c r="GE591"/>
      <c r="GF591"/>
      <c r="GG591"/>
      <c r="GH591"/>
    </row>
    <row r="592" spans="187:190" s="1" customFormat="1" ht="18" customHeight="1" x14ac:dyDescent="0.2">
      <c r="GE592"/>
      <c r="GF592"/>
      <c r="GG592"/>
      <c r="GH592"/>
    </row>
    <row r="593" spans="187:190" s="1" customFormat="1" ht="18" customHeight="1" x14ac:dyDescent="0.2">
      <c r="GE593"/>
      <c r="GF593"/>
      <c r="GG593"/>
      <c r="GH593"/>
    </row>
    <row r="594" spans="187:190" s="1" customFormat="1" ht="18" customHeight="1" x14ac:dyDescent="0.2">
      <c r="GE594"/>
      <c r="GF594"/>
      <c r="GG594"/>
      <c r="GH594"/>
    </row>
    <row r="595" spans="187:190" s="1" customFormat="1" ht="18" customHeight="1" x14ac:dyDescent="0.2">
      <c r="GE595"/>
      <c r="GF595"/>
      <c r="GG595"/>
      <c r="GH595"/>
    </row>
    <row r="596" spans="187:190" s="1" customFormat="1" ht="18" customHeight="1" x14ac:dyDescent="0.2">
      <c r="GE596"/>
      <c r="GF596"/>
      <c r="GG596"/>
      <c r="GH596"/>
    </row>
    <row r="597" spans="187:190" s="1" customFormat="1" ht="18" customHeight="1" x14ac:dyDescent="0.2">
      <c r="GE597"/>
      <c r="GF597"/>
      <c r="GG597"/>
      <c r="GH597"/>
    </row>
    <row r="598" spans="187:190" s="1" customFormat="1" ht="18" customHeight="1" x14ac:dyDescent="0.2">
      <c r="GE598"/>
      <c r="GF598"/>
      <c r="GG598"/>
      <c r="GH598"/>
    </row>
    <row r="599" spans="187:190" s="1" customFormat="1" ht="18" customHeight="1" x14ac:dyDescent="0.2">
      <c r="GE599"/>
      <c r="GF599"/>
      <c r="GG599"/>
      <c r="GH599"/>
    </row>
    <row r="600" spans="187:190" s="1" customFormat="1" ht="18" customHeight="1" x14ac:dyDescent="0.2">
      <c r="GE600"/>
      <c r="GF600"/>
      <c r="GG600"/>
      <c r="GH600"/>
    </row>
    <row r="601" spans="187:190" s="1" customFormat="1" ht="18" customHeight="1" x14ac:dyDescent="0.2">
      <c r="GE601"/>
      <c r="GF601"/>
      <c r="GG601"/>
      <c r="GH601"/>
    </row>
    <row r="602" spans="187:190" s="1" customFormat="1" ht="18" customHeight="1" x14ac:dyDescent="0.2">
      <c r="GE602"/>
      <c r="GF602"/>
      <c r="GG602"/>
      <c r="GH602"/>
    </row>
    <row r="603" spans="187:190" s="1" customFormat="1" ht="18" customHeight="1" x14ac:dyDescent="0.2">
      <c r="GE603"/>
      <c r="GF603"/>
      <c r="GG603"/>
      <c r="GH603"/>
    </row>
    <row r="604" spans="187:190" s="1" customFormat="1" ht="18" customHeight="1" x14ac:dyDescent="0.2">
      <c r="GE604"/>
      <c r="GF604"/>
      <c r="GG604"/>
      <c r="GH604"/>
    </row>
    <row r="605" spans="187:190" s="1" customFormat="1" ht="18" customHeight="1" x14ac:dyDescent="0.2">
      <c r="GE605"/>
      <c r="GF605"/>
      <c r="GG605"/>
      <c r="GH605"/>
    </row>
    <row r="606" spans="187:190" s="1" customFormat="1" ht="18" customHeight="1" x14ac:dyDescent="0.2">
      <c r="GE606"/>
      <c r="GF606"/>
      <c r="GG606"/>
      <c r="GH606"/>
    </row>
    <row r="607" spans="187:190" s="1" customFormat="1" ht="18" customHeight="1" x14ac:dyDescent="0.2">
      <c r="GE607"/>
      <c r="GF607"/>
      <c r="GG607"/>
      <c r="GH607"/>
    </row>
    <row r="608" spans="187:190" s="1" customFormat="1" ht="18" customHeight="1" x14ac:dyDescent="0.2">
      <c r="GE608"/>
      <c r="GF608"/>
      <c r="GG608"/>
      <c r="GH608"/>
    </row>
    <row r="609" spans="187:190" s="1" customFormat="1" ht="18" customHeight="1" x14ac:dyDescent="0.2">
      <c r="GE609"/>
      <c r="GF609"/>
      <c r="GG609"/>
      <c r="GH609"/>
    </row>
    <row r="610" spans="187:190" s="1" customFormat="1" ht="18" customHeight="1" x14ac:dyDescent="0.2">
      <c r="GE610"/>
      <c r="GF610"/>
      <c r="GG610"/>
      <c r="GH610"/>
    </row>
    <row r="611" spans="187:190" s="1" customFormat="1" ht="18" customHeight="1" x14ac:dyDescent="0.2">
      <c r="GE611"/>
      <c r="GF611"/>
      <c r="GG611"/>
      <c r="GH611"/>
    </row>
    <row r="612" spans="187:190" s="1" customFormat="1" ht="18" customHeight="1" x14ac:dyDescent="0.2">
      <c r="GE612"/>
      <c r="GF612"/>
      <c r="GG612"/>
      <c r="GH612"/>
    </row>
    <row r="613" spans="187:190" s="1" customFormat="1" ht="18" customHeight="1" x14ac:dyDescent="0.2">
      <c r="GE613"/>
      <c r="GF613"/>
      <c r="GG613"/>
      <c r="GH613"/>
    </row>
    <row r="614" spans="187:190" s="1" customFormat="1" ht="18" customHeight="1" x14ac:dyDescent="0.2">
      <c r="GE614"/>
      <c r="GF614"/>
      <c r="GG614"/>
      <c r="GH614"/>
    </row>
    <row r="615" spans="187:190" s="1" customFormat="1" ht="18" customHeight="1" x14ac:dyDescent="0.2">
      <c r="GE615"/>
      <c r="GF615"/>
      <c r="GG615"/>
      <c r="GH615"/>
    </row>
    <row r="616" spans="187:190" s="1" customFormat="1" ht="18" customHeight="1" x14ac:dyDescent="0.2">
      <c r="GE616"/>
      <c r="GF616"/>
      <c r="GG616"/>
      <c r="GH616"/>
    </row>
    <row r="617" spans="187:190" s="1" customFormat="1" ht="18" customHeight="1" x14ac:dyDescent="0.2">
      <c r="GE617"/>
      <c r="GF617"/>
      <c r="GG617"/>
      <c r="GH617"/>
    </row>
    <row r="618" spans="187:190" s="1" customFormat="1" ht="18" customHeight="1" x14ac:dyDescent="0.2">
      <c r="GE618"/>
      <c r="GF618"/>
      <c r="GG618"/>
      <c r="GH618"/>
    </row>
    <row r="619" spans="187:190" s="1" customFormat="1" ht="18" customHeight="1" x14ac:dyDescent="0.2">
      <c r="GE619"/>
      <c r="GF619"/>
      <c r="GG619"/>
      <c r="GH619"/>
    </row>
    <row r="620" spans="187:190" s="1" customFormat="1" ht="18" customHeight="1" x14ac:dyDescent="0.2">
      <c r="GE620"/>
      <c r="GF620"/>
      <c r="GG620"/>
      <c r="GH620"/>
    </row>
    <row r="621" spans="187:190" s="1" customFormat="1" ht="18" customHeight="1" x14ac:dyDescent="0.2">
      <c r="GE621"/>
      <c r="GF621"/>
      <c r="GG621"/>
      <c r="GH621"/>
    </row>
    <row r="622" spans="187:190" s="1" customFormat="1" ht="18" customHeight="1" x14ac:dyDescent="0.2">
      <c r="GE622"/>
      <c r="GF622"/>
      <c r="GG622"/>
      <c r="GH622"/>
    </row>
    <row r="623" spans="187:190" s="1" customFormat="1" ht="18" customHeight="1" x14ac:dyDescent="0.2">
      <c r="GE623"/>
      <c r="GF623"/>
      <c r="GG623"/>
      <c r="GH623"/>
    </row>
    <row r="624" spans="187:190" s="1" customFormat="1" ht="18" customHeight="1" x14ac:dyDescent="0.2">
      <c r="GE624"/>
      <c r="GF624"/>
      <c r="GG624"/>
      <c r="GH624"/>
    </row>
    <row r="625" spans="187:190" s="1" customFormat="1" ht="18" customHeight="1" x14ac:dyDescent="0.2">
      <c r="GE625"/>
      <c r="GF625"/>
      <c r="GG625"/>
      <c r="GH625"/>
    </row>
    <row r="626" spans="187:190" s="1" customFormat="1" ht="18" customHeight="1" x14ac:dyDescent="0.2">
      <c r="GE626"/>
      <c r="GF626"/>
      <c r="GG626"/>
      <c r="GH626"/>
    </row>
    <row r="627" spans="187:190" s="1" customFormat="1" ht="18" customHeight="1" x14ac:dyDescent="0.2">
      <c r="GE627"/>
      <c r="GF627"/>
      <c r="GG627"/>
      <c r="GH627"/>
    </row>
    <row r="628" spans="187:190" s="1" customFormat="1" ht="18" customHeight="1" x14ac:dyDescent="0.2">
      <c r="GE628"/>
      <c r="GF628"/>
      <c r="GG628"/>
      <c r="GH628"/>
    </row>
    <row r="629" spans="187:190" s="1" customFormat="1" ht="18" customHeight="1" x14ac:dyDescent="0.2">
      <c r="GE629"/>
      <c r="GF629"/>
      <c r="GG629"/>
      <c r="GH629"/>
    </row>
    <row r="630" spans="187:190" s="1" customFormat="1" ht="18" customHeight="1" x14ac:dyDescent="0.2">
      <c r="GE630"/>
      <c r="GF630"/>
      <c r="GG630"/>
      <c r="GH630"/>
    </row>
    <row r="631" spans="187:190" s="1" customFormat="1" ht="18" customHeight="1" x14ac:dyDescent="0.2">
      <c r="GE631"/>
      <c r="GF631"/>
      <c r="GG631"/>
      <c r="GH631"/>
    </row>
    <row r="632" spans="187:190" s="1" customFormat="1" ht="18" customHeight="1" x14ac:dyDescent="0.2">
      <c r="GE632"/>
      <c r="GF632"/>
      <c r="GG632"/>
      <c r="GH632"/>
    </row>
    <row r="633" spans="187:190" s="1" customFormat="1" ht="18" customHeight="1" x14ac:dyDescent="0.2">
      <c r="GE633"/>
      <c r="GF633"/>
      <c r="GG633"/>
      <c r="GH633"/>
    </row>
    <row r="634" spans="187:190" s="1" customFormat="1" ht="18" customHeight="1" x14ac:dyDescent="0.2">
      <c r="GE634"/>
      <c r="GF634"/>
      <c r="GG634"/>
      <c r="GH634"/>
    </row>
    <row r="635" spans="187:190" s="1" customFormat="1" ht="18" customHeight="1" x14ac:dyDescent="0.2">
      <c r="GE635"/>
      <c r="GF635"/>
      <c r="GG635"/>
      <c r="GH635"/>
    </row>
    <row r="636" spans="187:190" s="1" customFormat="1" ht="18" customHeight="1" x14ac:dyDescent="0.2">
      <c r="GE636"/>
      <c r="GF636"/>
      <c r="GG636"/>
      <c r="GH636"/>
    </row>
    <row r="637" spans="187:190" s="1" customFormat="1" ht="18" customHeight="1" x14ac:dyDescent="0.2">
      <c r="GE637"/>
      <c r="GF637"/>
      <c r="GG637"/>
      <c r="GH637"/>
    </row>
    <row r="638" spans="187:190" s="1" customFormat="1" ht="18" customHeight="1" x14ac:dyDescent="0.2">
      <c r="GE638"/>
      <c r="GF638"/>
      <c r="GG638"/>
      <c r="GH638"/>
    </row>
    <row r="639" spans="187:190" s="1" customFormat="1" ht="18" customHeight="1" x14ac:dyDescent="0.2">
      <c r="GE639"/>
      <c r="GF639"/>
      <c r="GG639"/>
      <c r="GH639"/>
    </row>
    <row r="640" spans="187:190" s="1" customFormat="1" ht="18" customHeight="1" x14ac:dyDescent="0.2">
      <c r="GE640"/>
      <c r="GF640"/>
      <c r="GG640"/>
      <c r="GH640"/>
    </row>
    <row r="641" spans="187:190" s="1" customFormat="1" ht="18" customHeight="1" x14ac:dyDescent="0.2">
      <c r="GE641"/>
      <c r="GF641"/>
      <c r="GG641"/>
      <c r="GH641"/>
    </row>
    <row r="642" spans="187:190" s="1" customFormat="1" ht="18" customHeight="1" x14ac:dyDescent="0.2">
      <c r="GE642"/>
      <c r="GF642"/>
      <c r="GG642"/>
      <c r="GH642"/>
    </row>
    <row r="643" spans="187:190" s="1" customFormat="1" ht="18" customHeight="1" x14ac:dyDescent="0.2">
      <c r="GE643"/>
      <c r="GF643"/>
      <c r="GG643"/>
      <c r="GH643"/>
    </row>
    <row r="644" spans="187:190" s="1" customFormat="1" ht="18" customHeight="1" x14ac:dyDescent="0.2">
      <c r="GE644"/>
      <c r="GF644"/>
      <c r="GG644"/>
      <c r="GH644"/>
    </row>
    <row r="645" spans="187:190" s="1" customFormat="1" ht="18" customHeight="1" x14ac:dyDescent="0.2">
      <c r="GE645"/>
      <c r="GF645"/>
      <c r="GG645"/>
      <c r="GH645"/>
    </row>
    <row r="646" spans="187:190" s="1" customFormat="1" ht="18" customHeight="1" x14ac:dyDescent="0.2">
      <c r="GE646"/>
      <c r="GF646"/>
      <c r="GG646"/>
      <c r="GH646"/>
    </row>
    <row r="647" spans="187:190" s="1" customFormat="1" ht="18" customHeight="1" x14ac:dyDescent="0.2">
      <c r="GE647"/>
      <c r="GF647"/>
      <c r="GG647"/>
      <c r="GH647"/>
    </row>
    <row r="648" spans="187:190" s="1" customFormat="1" ht="18" customHeight="1" x14ac:dyDescent="0.2">
      <c r="GE648"/>
      <c r="GF648"/>
      <c r="GG648"/>
      <c r="GH648"/>
    </row>
    <row r="649" spans="187:190" s="1" customFormat="1" ht="18" customHeight="1" x14ac:dyDescent="0.2">
      <c r="GE649"/>
      <c r="GF649"/>
      <c r="GG649"/>
      <c r="GH649"/>
    </row>
    <row r="650" spans="187:190" s="1" customFormat="1" ht="18" customHeight="1" x14ac:dyDescent="0.2">
      <c r="GE650"/>
      <c r="GF650"/>
      <c r="GG650"/>
      <c r="GH650"/>
    </row>
    <row r="651" spans="187:190" s="1" customFormat="1" ht="18" customHeight="1" x14ac:dyDescent="0.2">
      <c r="GE651"/>
      <c r="GF651"/>
      <c r="GG651"/>
      <c r="GH651"/>
    </row>
    <row r="652" spans="187:190" s="1" customFormat="1" ht="18" customHeight="1" x14ac:dyDescent="0.2">
      <c r="GE652"/>
      <c r="GF652"/>
      <c r="GG652"/>
      <c r="GH652"/>
    </row>
    <row r="653" spans="187:190" s="1" customFormat="1" ht="18" customHeight="1" x14ac:dyDescent="0.2">
      <c r="GE653"/>
      <c r="GF653"/>
      <c r="GG653"/>
      <c r="GH653"/>
    </row>
    <row r="654" spans="187:190" s="1" customFormat="1" ht="18" customHeight="1" x14ac:dyDescent="0.2">
      <c r="GE654"/>
      <c r="GF654"/>
      <c r="GG654"/>
      <c r="GH654"/>
    </row>
    <row r="655" spans="187:190" s="1" customFormat="1" ht="18" customHeight="1" x14ac:dyDescent="0.2">
      <c r="GE655"/>
      <c r="GF655"/>
      <c r="GG655"/>
      <c r="GH655"/>
    </row>
    <row r="656" spans="187:190" s="1" customFormat="1" ht="18" customHeight="1" x14ac:dyDescent="0.2">
      <c r="GE656"/>
      <c r="GF656"/>
      <c r="GG656"/>
      <c r="GH656"/>
    </row>
    <row r="657" spans="187:190" s="1" customFormat="1" ht="18" customHeight="1" x14ac:dyDescent="0.2">
      <c r="GE657"/>
      <c r="GF657"/>
      <c r="GG657"/>
      <c r="GH657"/>
    </row>
    <row r="658" spans="187:190" s="1" customFormat="1" ht="18" customHeight="1" x14ac:dyDescent="0.2">
      <c r="GE658"/>
      <c r="GF658"/>
      <c r="GG658"/>
      <c r="GH658"/>
    </row>
    <row r="659" spans="187:190" s="1" customFormat="1" ht="18" customHeight="1" x14ac:dyDescent="0.2">
      <c r="GE659"/>
      <c r="GF659"/>
      <c r="GG659"/>
      <c r="GH659"/>
    </row>
    <row r="660" spans="187:190" s="1" customFormat="1" ht="18" customHeight="1" x14ac:dyDescent="0.2">
      <c r="GE660"/>
      <c r="GF660"/>
      <c r="GG660"/>
      <c r="GH660"/>
    </row>
    <row r="661" spans="187:190" s="1" customFormat="1" ht="18" customHeight="1" x14ac:dyDescent="0.2">
      <c r="GE661"/>
      <c r="GF661"/>
      <c r="GG661"/>
      <c r="GH661"/>
    </row>
    <row r="662" spans="187:190" s="1" customFormat="1" ht="18" customHeight="1" x14ac:dyDescent="0.2">
      <c r="GE662"/>
      <c r="GF662"/>
      <c r="GG662"/>
      <c r="GH662"/>
    </row>
    <row r="663" spans="187:190" s="1" customFormat="1" ht="18" customHeight="1" x14ac:dyDescent="0.2">
      <c r="GE663"/>
      <c r="GF663"/>
      <c r="GG663"/>
      <c r="GH663"/>
    </row>
    <row r="664" spans="187:190" s="1" customFormat="1" ht="18" customHeight="1" x14ac:dyDescent="0.2">
      <c r="GE664"/>
      <c r="GF664"/>
      <c r="GG664"/>
      <c r="GH664"/>
    </row>
    <row r="665" spans="187:190" s="1" customFormat="1" ht="18" customHeight="1" x14ac:dyDescent="0.2">
      <c r="GE665"/>
      <c r="GF665"/>
      <c r="GG665"/>
      <c r="GH665"/>
    </row>
    <row r="666" spans="187:190" s="1" customFormat="1" ht="18" customHeight="1" x14ac:dyDescent="0.2">
      <c r="GE666"/>
      <c r="GF666"/>
      <c r="GG666"/>
      <c r="GH666"/>
    </row>
    <row r="667" spans="187:190" s="1" customFormat="1" ht="18" customHeight="1" x14ac:dyDescent="0.2">
      <c r="GE667"/>
      <c r="GF667"/>
      <c r="GG667"/>
      <c r="GH667"/>
    </row>
    <row r="668" spans="187:190" s="1" customFormat="1" ht="18" customHeight="1" x14ac:dyDescent="0.2">
      <c r="GE668"/>
      <c r="GF668"/>
      <c r="GG668"/>
      <c r="GH668"/>
    </row>
    <row r="669" spans="187:190" s="1" customFormat="1" ht="18" customHeight="1" x14ac:dyDescent="0.2">
      <c r="GE669"/>
      <c r="GF669"/>
      <c r="GG669"/>
      <c r="GH669"/>
    </row>
    <row r="670" spans="187:190" s="1" customFormat="1" ht="18" customHeight="1" x14ac:dyDescent="0.2">
      <c r="GE670"/>
      <c r="GF670"/>
      <c r="GG670"/>
      <c r="GH670"/>
    </row>
    <row r="671" spans="187:190" s="1" customFormat="1" ht="18" customHeight="1" x14ac:dyDescent="0.2">
      <c r="GE671"/>
      <c r="GF671"/>
      <c r="GG671"/>
      <c r="GH671"/>
    </row>
    <row r="672" spans="187:190" s="1" customFormat="1" ht="18" customHeight="1" x14ac:dyDescent="0.2">
      <c r="GE672"/>
      <c r="GF672"/>
      <c r="GG672"/>
      <c r="GH672"/>
    </row>
    <row r="673" spans="187:190" s="1" customFormat="1" ht="18" customHeight="1" x14ac:dyDescent="0.2">
      <c r="GE673"/>
      <c r="GF673"/>
      <c r="GG673"/>
      <c r="GH673"/>
    </row>
    <row r="674" spans="187:190" s="1" customFormat="1" ht="18" customHeight="1" x14ac:dyDescent="0.2">
      <c r="GE674"/>
      <c r="GF674"/>
      <c r="GG674"/>
      <c r="GH674"/>
    </row>
    <row r="675" spans="187:190" s="1" customFormat="1" ht="18" customHeight="1" x14ac:dyDescent="0.2">
      <c r="GE675"/>
      <c r="GF675"/>
      <c r="GG675"/>
      <c r="GH675"/>
    </row>
    <row r="676" spans="187:190" s="1" customFormat="1" ht="18" customHeight="1" x14ac:dyDescent="0.2">
      <c r="GE676"/>
      <c r="GF676"/>
      <c r="GG676"/>
      <c r="GH676"/>
    </row>
    <row r="677" spans="187:190" s="1" customFormat="1" ht="18" customHeight="1" x14ac:dyDescent="0.2">
      <c r="GE677"/>
      <c r="GF677"/>
      <c r="GG677"/>
      <c r="GH677"/>
    </row>
    <row r="678" spans="187:190" s="1" customFormat="1" ht="18" customHeight="1" x14ac:dyDescent="0.2">
      <c r="GE678"/>
      <c r="GF678"/>
      <c r="GG678"/>
      <c r="GH678"/>
    </row>
    <row r="679" spans="187:190" s="1" customFormat="1" ht="18" customHeight="1" x14ac:dyDescent="0.2">
      <c r="GE679"/>
      <c r="GF679"/>
      <c r="GG679"/>
      <c r="GH679"/>
    </row>
    <row r="680" spans="187:190" s="1" customFormat="1" ht="18" customHeight="1" x14ac:dyDescent="0.2">
      <c r="GE680"/>
      <c r="GF680"/>
      <c r="GG680"/>
      <c r="GH680"/>
    </row>
    <row r="681" spans="187:190" s="1" customFormat="1" ht="18" customHeight="1" x14ac:dyDescent="0.2">
      <c r="GE681"/>
      <c r="GF681"/>
      <c r="GG681"/>
      <c r="GH681"/>
    </row>
    <row r="682" spans="187:190" s="1" customFormat="1" ht="18" customHeight="1" x14ac:dyDescent="0.2">
      <c r="GE682"/>
      <c r="GF682"/>
      <c r="GG682"/>
      <c r="GH682"/>
    </row>
    <row r="683" spans="187:190" s="1" customFormat="1" ht="18" customHeight="1" x14ac:dyDescent="0.2">
      <c r="GE683"/>
      <c r="GF683"/>
      <c r="GG683"/>
      <c r="GH683"/>
    </row>
    <row r="684" spans="187:190" s="1" customFormat="1" ht="18" customHeight="1" x14ac:dyDescent="0.2">
      <c r="GE684"/>
      <c r="GF684"/>
      <c r="GG684"/>
      <c r="GH684"/>
    </row>
    <row r="685" spans="187:190" s="1" customFormat="1" ht="18" customHeight="1" x14ac:dyDescent="0.2">
      <c r="GE685"/>
      <c r="GF685"/>
      <c r="GG685"/>
      <c r="GH685"/>
    </row>
    <row r="686" spans="187:190" s="1" customFormat="1" ht="18" customHeight="1" x14ac:dyDescent="0.2">
      <c r="GE686"/>
      <c r="GF686"/>
      <c r="GG686"/>
      <c r="GH686"/>
    </row>
    <row r="687" spans="187:190" s="1" customFormat="1" ht="18" customHeight="1" x14ac:dyDescent="0.2">
      <c r="GE687"/>
      <c r="GF687"/>
      <c r="GG687"/>
      <c r="GH687"/>
    </row>
    <row r="688" spans="187:190" s="1" customFormat="1" ht="18" customHeight="1" x14ac:dyDescent="0.2">
      <c r="GE688"/>
      <c r="GF688"/>
      <c r="GG688"/>
      <c r="GH688"/>
    </row>
    <row r="689" spans="187:190" s="1" customFormat="1" ht="18" customHeight="1" x14ac:dyDescent="0.2">
      <c r="GE689"/>
      <c r="GF689"/>
      <c r="GG689"/>
      <c r="GH689"/>
    </row>
    <row r="690" spans="187:190" s="1" customFormat="1" ht="18" customHeight="1" x14ac:dyDescent="0.2">
      <c r="GE690"/>
      <c r="GF690"/>
      <c r="GG690"/>
      <c r="GH690"/>
    </row>
    <row r="691" spans="187:190" s="1" customFormat="1" ht="18" customHeight="1" x14ac:dyDescent="0.2">
      <c r="GE691"/>
      <c r="GF691"/>
      <c r="GG691"/>
      <c r="GH691"/>
    </row>
    <row r="692" spans="187:190" s="1" customFormat="1" ht="18" customHeight="1" x14ac:dyDescent="0.2">
      <c r="GE692"/>
      <c r="GF692"/>
      <c r="GG692"/>
      <c r="GH692"/>
    </row>
    <row r="693" spans="187:190" s="1" customFormat="1" ht="18" customHeight="1" x14ac:dyDescent="0.2">
      <c r="GE693"/>
      <c r="GF693"/>
      <c r="GG693"/>
      <c r="GH693"/>
    </row>
    <row r="694" spans="187:190" s="1" customFormat="1" ht="18" customHeight="1" x14ac:dyDescent="0.2">
      <c r="GE694"/>
      <c r="GF694"/>
      <c r="GG694"/>
      <c r="GH694"/>
    </row>
    <row r="695" spans="187:190" s="1" customFormat="1" ht="18" customHeight="1" x14ac:dyDescent="0.2">
      <c r="GE695"/>
      <c r="GF695"/>
      <c r="GG695"/>
      <c r="GH695"/>
    </row>
    <row r="696" spans="187:190" s="1" customFormat="1" ht="18" customHeight="1" x14ac:dyDescent="0.2">
      <c r="GE696"/>
      <c r="GF696"/>
      <c r="GG696"/>
      <c r="GH696"/>
    </row>
    <row r="697" spans="187:190" s="1" customFormat="1" ht="18" customHeight="1" x14ac:dyDescent="0.2">
      <c r="GE697"/>
      <c r="GF697"/>
      <c r="GG697"/>
      <c r="GH697"/>
    </row>
    <row r="698" spans="187:190" s="1" customFormat="1" ht="18" customHeight="1" x14ac:dyDescent="0.2">
      <c r="GE698"/>
      <c r="GF698"/>
      <c r="GG698"/>
      <c r="GH698"/>
    </row>
    <row r="699" spans="187:190" s="1" customFormat="1" ht="18" customHeight="1" x14ac:dyDescent="0.2">
      <c r="GE699"/>
      <c r="GF699"/>
      <c r="GG699"/>
      <c r="GH699"/>
    </row>
    <row r="700" spans="187:190" s="1" customFormat="1" ht="18" customHeight="1" x14ac:dyDescent="0.2">
      <c r="GE700"/>
      <c r="GF700"/>
      <c r="GG700"/>
      <c r="GH700"/>
    </row>
    <row r="701" spans="187:190" s="1" customFormat="1" ht="18" customHeight="1" x14ac:dyDescent="0.2">
      <c r="GE701"/>
      <c r="GF701"/>
      <c r="GG701"/>
      <c r="GH701"/>
    </row>
    <row r="702" spans="187:190" s="1" customFormat="1" ht="18" customHeight="1" x14ac:dyDescent="0.2">
      <c r="GE702"/>
      <c r="GF702"/>
      <c r="GG702"/>
      <c r="GH702"/>
    </row>
    <row r="703" spans="187:190" s="1" customFormat="1" ht="18" customHeight="1" x14ac:dyDescent="0.2">
      <c r="GE703"/>
      <c r="GF703"/>
      <c r="GG703"/>
      <c r="GH703"/>
    </row>
    <row r="704" spans="187:190" s="1" customFormat="1" ht="18" customHeight="1" x14ac:dyDescent="0.2">
      <c r="GE704"/>
      <c r="GF704"/>
      <c r="GG704"/>
      <c r="GH704"/>
    </row>
    <row r="705" spans="187:190" s="1" customFormat="1" ht="18" customHeight="1" x14ac:dyDescent="0.2">
      <c r="GE705"/>
      <c r="GF705"/>
      <c r="GG705"/>
      <c r="GH705"/>
    </row>
    <row r="706" spans="187:190" s="1" customFormat="1" ht="18" customHeight="1" x14ac:dyDescent="0.2">
      <c r="GE706"/>
      <c r="GF706"/>
      <c r="GG706"/>
      <c r="GH706"/>
    </row>
    <row r="707" spans="187:190" s="1" customFormat="1" ht="18" customHeight="1" x14ac:dyDescent="0.2">
      <c r="GE707"/>
      <c r="GF707"/>
      <c r="GG707"/>
      <c r="GH707"/>
    </row>
    <row r="708" spans="187:190" s="1" customFormat="1" ht="18" customHeight="1" x14ac:dyDescent="0.2">
      <c r="GE708"/>
      <c r="GF708"/>
      <c r="GG708"/>
      <c r="GH708"/>
    </row>
    <row r="709" spans="187:190" s="1" customFormat="1" ht="18" customHeight="1" x14ac:dyDescent="0.2">
      <c r="GE709"/>
      <c r="GF709"/>
      <c r="GG709"/>
      <c r="GH709"/>
    </row>
    <row r="710" spans="187:190" s="1" customFormat="1" ht="18" customHeight="1" x14ac:dyDescent="0.2">
      <c r="GE710"/>
      <c r="GF710"/>
      <c r="GG710"/>
      <c r="GH710"/>
    </row>
    <row r="711" spans="187:190" s="1" customFormat="1" ht="18" customHeight="1" x14ac:dyDescent="0.2">
      <c r="GE711"/>
      <c r="GF711"/>
      <c r="GG711"/>
      <c r="GH711"/>
    </row>
    <row r="712" spans="187:190" s="1" customFormat="1" ht="18" customHeight="1" x14ac:dyDescent="0.2">
      <c r="GE712"/>
      <c r="GF712"/>
      <c r="GG712"/>
      <c r="GH712"/>
    </row>
    <row r="713" spans="187:190" s="1" customFormat="1" ht="18" customHeight="1" x14ac:dyDescent="0.2">
      <c r="GE713"/>
      <c r="GF713"/>
      <c r="GG713"/>
      <c r="GH713"/>
    </row>
    <row r="714" spans="187:190" s="1" customFormat="1" ht="18" customHeight="1" x14ac:dyDescent="0.2">
      <c r="GE714"/>
      <c r="GF714"/>
      <c r="GG714"/>
      <c r="GH714"/>
    </row>
    <row r="715" spans="187:190" s="1" customFormat="1" ht="18" customHeight="1" x14ac:dyDescent="0.2">
      <c r="GE715"/>
      <c r="GF715"/>
      <c r="GG715"/>
      <c r="GH715"/>
    </row>
    <row r="716" spans="187:190" s="1" customFormat="1" ht="18" customHeight="1" x14ac:dyDescent="0.2">
      <c r="GE716"/>
      <c r="GF716"/>
      <c r="GG716"/>
      <c r="GH716"/>
    </row>
    <row r="717" spans="187:190" s="1" customFormat="1" ht="18" customHeight="1" x14ac:dyDescent="0.2">
      <c r="GE717"/>
      <c r="GF717"/>
      <c r="GG717"/>
      <c r="GH717"/>
    </row>
    <row r="718" spans="187:190" s="1" customFormat="1" ht="18" customHeight="1" x14ac:dyDescent="0.2">
      <c r="GE718"/>
      <c r="GF718"/>
      <c r="GG718"/>
      <c r="GH718"/>
    </row>
    <row r="719" spans="187:190" s="1" customFormat="1" ht="18" customHeight="1" x14ac:dyDescent="0.2">
      <c r="GE719"/>
      <c r="GF719"/>
      <c r="GG719"/>
      <c r="GH719"/>
    </row>
    <row r="720" spans="187:190" s="1" customFormat="1" ht="18" customHeight="1" x14ac:dyDescent="0.2">
      <c r="GE720"/>
      <c r="GF720"/>
      <c r="GG720"/>
      <c r="GH720"/>
    </row>
    <row r="721" spans="187:190" s="1" customFormat="1" ht="18" customHeight="1" x14ac:dyDescent="0.2">
      <c r="GE721"/>
      <c r="GF721"/>
      <c r="GG721"/>
      <c r="GH721"/>
    </row>
    <row r="722" spans="187:190" s="1" customFormat="1" ht="18" customHeight="1" x14ac:dyDescent="0.2">
      <c r="GE722"/>
      <c r="GF722"/>
      <c r="GG722"/>
      <c r="GH722"/>
    </row>
    <row r="723" spans="187:190" s="1" customFormat="1" ht="18" customHeight="1" x14ac:dyDescent="0.2">
      <c r="GE723"/>
      <c r="GF723"/>
      <c r="GG723"/>
      <c r="GH723"/>
    </row>
    <row r="724" spans="187:190" s="1" customFormat="1" ht="18" customHeight="1" x14ac:dyDescent="0.2">
      <c r="GE724"/>
      <c r="GF724"/>
      <c r="GG724"/>
      <c r="GH724"/>
    </row>
    <row r="725" spans="187:190" s="1" customFormat="1" ht="18" customHeight="1" x14ac:dyDescent="0.2">
      <c r="GE725"/>
      <c r="GF725"/>
      <c r="GG725"/>
      <c r="GH725"/>
    </row>
    <row r="726" spans="187:190" s="1" customFormat="1" ht="18" customHeight="1" x14ac:dyDescent="0.2">
      <c r="GE726"/>
      <c r="GF726"/>
      <c r="GG726"/>
      <c r="GH726"/>
    </row>
    <row r="727" spans="187:190" s="1" customFormat="1" ht="18" customHeight="1" x14ac:dyDescent="0.2">
      <c r="GE727"/>
      <c r="GF727"/>
      <c r="GG727"/>
      <c r="GH727"/>
    </row>
    <row r="728" spans="187:190" s="1" customFormat="1" ht="18" customHeight="1" x14ac:dyDescent="0.2">
      <c r="GE728"/>
      <c r="GF728"/>
      <c r="GG728"/>
      <c r="GH728"/>
    </row>
    <row r="729" spans="187:190" s="1" customFormat="1" ht="18" customHeight="1" x14ac:dyDescent="0.2">
      <c r="GE729"/>
      <c r="GF729"/>
      <c r="GG729"/>
      <c r="GH729"/>
    </row>
    <row r="730" spans="187:190" s="1" customFormat="1" ht="18" customHeight="1" x14ac:dyDescent="0.2">
      <c r="GE730"/>
      <c r="GF730"/>
      <c r="GG730"/>
      <c r="GH730"/>
    </row>
    <row r="731" spans="187:190" s="1" customFormat="1" ht="18" customHeight="1" x14ac:dyDescent="0.2">
      <c r="GE731"/>
      <c r="GF731"/>
      <c r="GG731"/>
      <c r="GH731"/>
    </row>
    <row r="732" spans="187:190" s="1" customFormat="1" ht="18" customHeight="1" x14ac:dyDescent="0.2">
      <c r="GE732"/>
      <c r="GF732"/>
      <c r="GG732"/>
      <c r="GH732"/>
    </row>
    <row r="733" spans="187:190" s="1" customFormat="1" ht="18" customHeight="1" x14ac:dyDescent="0.2">
      <c r="GE733"/>
      <c r="GF733"/>
      <c r="GG733"/>
      <c r="GH733"/>
    </row>
    <row r="734" spans="187:190" s="1" customFormat="1" ht="18" customHeight="1" x14ac:dyDescent="0.2">
      <c r="GE734"/>
      <c r="GF734"/>
      <c r="GG734"/>
      <c r="GH734"/>
    </row>
    <row r="735" spans="187:190" s="1" customFormat="1" ht="18" customHeight="1" x14ac:dyDescent="0.2">
      <c r="GE735"/>
      <c r="GF735"/>
      <c r="GG735"/>
      <c r="GH735"/>
    </row>
    <row r="736" spans="187:190" s="1" customFormat="1" ht="18" customHeight="1" x14ac:dyDescent="0.2">
      <c r="GE736"/>
      <c r="GF736"/>
      <c r="GG736"/>
      <c r="GH736"/>
    </row>
    <row r="737" spans="187:190" s="1" customFormat="1" ht="18" customHeight="1" x14ac:dyDescent="0.2">
      <c r="GE737"/>
      <c r="GF737"/>
      <c r="GG737"/>
      <c r="GH737"/>
    </row>
    <row r="738" spans="187:190" s="1" customFormat="1" ht="18" customHeight="1" x14ac:dyDescent="0.2">
      <c r="GE738"/>
      <c r="GF738"/>
      <c r="GG738"/>
      <c r="GH738"/>
    </row>
    <row r="739" spans="187:190" s="1" customFormat="1" ht="18" customHeight="1" x14ac:dyDescent="0.2">
      <c r="GE739"/>
      <c r="GF739"/>
      <c r="GG739"/>
      <c r="GH739"/>
    </row>
    <row r="740" spans="187:190" s="1" customFormat="1" ht="18" customHeight="1" x14ac:dyDescent="0.2">
      <c r="GE740"/>
      <c r="GF740"/>
      <c r="GG740"/>
      <c r="GH740"/>
    </row>
    <row r="741" spans="187:190" s="1" customFormat="1" ht="18" customHeight="1" x14ac:dyDescent="0.2">
      <c r="GE741"/>
      <c r="GF741"/>
      <c r="GG741"/>
      <c r="GH741"/>
    </row>
    <row r="742" spans="187:190" s="1" customFormat="1" ht="18" customHeight="1" x14ac:dyDescent="0.2">
      <c r="GE742"/>
      <c r="GF742"/>
      <c r="GG742"/>
      <c r="GH742"/>
    </row>
    <row r="743" spans="187:190" s="1" customFormat="1" ht="18" customHeight="1" x14ac:dyDescent="0.2">
      <c r="GE743"/>
      <c r="GF743"/>
      <c r="GG743"/>
      <c r="GH743"/>
    </row>
    <row r="744" spans="187:190" s="1" customFormat="1" ht="18" customHeight="1" x14ac:dyDescent="0.2">
      <c r="GE744"/>
      <c r="GF744"/>
      <c r="GG744"/>
      <c r="GH744"/>
    </row>
    <row r="745" spans="187:190" s="1" customFormat="1" ht="18" customHeight="1" x14ac:dyDescent="0.2">
      <c r="GE745"/>
      <c r="GF745"/>
      <c r="GG745"/>
      <c r="GH745"/>
    </row>
    <row r="746" spans="187:190" s="1" customFormat="1" ht="18" customHeight="1" x14ac:dyDescent="0.2">
      <c r="GE746"/>
      <c r="GF746"/>
      <c r="GG746"/>
      <c r="GH746"/>
    </row>
    <row r="747" spans="187:190" s="1" customFormat="1" ht="18" customHeight="1" x14ac:dyDescent="0.2">
      <c r="GE747"/>
      <c r="GF747"/>
      <c r="GG747"/>
      <c r="GH747"/>
    </row>
    <row r="748" spans="187:190" s="1" customFormat="1" ht="18" customHeight="1" x14ac:dyDescent="0.2">
      <c r="GE748"/>
      <c r="GF748"/>
      <c r="GG748"/>
      <c r="GH748"/>
    </row>
    <row r="749" spans="187:190" s="1" customFormat="1" ht="18" customHeight="1" x14ac:dyDescent="0.2">
      <c r="GE749"/>
      <c r="GF749"/>
      <c r="GG749"/>
      <c r="GH749"/>
    </row>
    <row r="750" spans="187:190" s="1" customFormat="1" ht="18" customHeight="1" x14ac:dyDescent="0.2">
      <c r="GE750"/>
      <c r="GF750"/>
      <c r="GG750"/>
      <c r="GH750"/>
    </row>
    <row r="751" spans="187:190" s="1" customFormat="1" ht="18" customHeight="1" x14ac:dyDescent="0.2">
      <c r="GE751"/>
      <c r="GF751"/>
      <c r="GG751"/>
      <c r="GH751"/>
    </row>
    <row r="752" spans="187:190" s="1" customFormat="1" ht="18" customHeight="1" x14ac:dyDescent="0.2">
      <c r="GE752"/>
      <c r="GF752"/>
      <c r="GG752"/>
      <c r="GH752"/>
    </row>
    <row r="753" spans="187:190" s="1" customFormat="1" ht="18" customHeight="1" x14ac:dyDescent="0.2">
      <c r="GE753"/>
      <c r="GF753"/>
      <c r="GG753"/>
      <c r="GH753"/>
    </row>
    <row r="754" spans="187:190" s="1" customFormat="1" ht="18" customHeight="1" x14ac:dyDescent="0.2">
      <c r="GE754"/>
      <c r="GF754"/>
      <c r="GG754"/>
      <c r="GH754"/>
    </row>
    <row r="755" spans="187:190" s="1" customFormat="1" ht="18" customHeight="1" x14ac:dyDescent="0.2">
      <c r="GE755"/>
      <c r="GF755"/>
      <c r="GG755"/>
      <c r="GH755"/>
    </row>
    <row r="756" spans="187:190" s="1" customFormat="1" ht="18" customHeight="1" x14ac:dyDescent="0.2">
      <c r="GE756"/>
      <c r="GF756"/>
      <c r="GG756"/>
      <c r="GH756"/>
    </row>
    <row r="757" spans="187:190" s="1" customFormat="1" ht="18" customHeight="1" x14ac:dyDescent="0.2">
      <c r="GE757"/>
      <c r="GF757"/>
      <c r="GG757"/>
      <c r="GH757"/>
    </row>
    <row r="758" spans="187:190" s="1" customFormat="1" ht="18" customHeight="1" x14ac:dyDescent="0.2">
      <c r="GE758"/>
      <c r="GF758"/>
      <c r="GG758"/>
      <c r="GH758"/>
    </row>
    <row r="759" spans="187:190" s="1" customFormat="1" ht="18" customHeight="1" x14ac:dyDescent="0.2">
      <c r="GE759"/>
      <c r="GF759"/>
      <c r="GG759"/>
      <c r="GH759"/>
    </row>
    <row r="760" spans="187:190" s="1" customFormat="1" ht="18" customHeight="1" x14ac:dyDescent="0.2">
      <c r="GE760"/>
      <c r="GF760"/>
      <c r="GG760"/>
      <c r="GH760"/>
    </row>
    <row r="761" spans="187:190" s="1" customFormat="1" ht="18" customHeight="1" x14ac:dyDescent="0.2">
      <c r="GE761"/>
      <c r="GF761"/>
      <c r="GG761"/>
      <c r="GH761"/>
    </row>
    <row r="762" spans="187:190" s="1" customFormat="1" ht="18" customHeight="1" x14ac:dyDescent="0.2">
      <c r="GE762"/>
      <c r="GF762"/>
      <c r="GG762"/>
      <c r="GH762"/>
    </row>
    <row r="763" spans="187:190" s="1" customFormat="1" ht="18" customHeight="1" x14ac:dyDescent="0.2">
      <c r="GE763"/>
      <c r="GF763"/>
      <c r="GG763"/>
      <c r="GH763"/>
    </row>
    <row r="764" spans="187:190" s="1" customFormat="1" ht="18" customHeight="1" x14ac:dyDescent="0.2">
      <c r="GE764"/>
      <c r="GF764"/>
      <c r="GG764"/>
      <c r="GH764"/>
    </row>
    <row r="765" spans="187:190" s="1" customFormat="1" ht="18" customHeight="1" x14ac:dyDescent="0.2">
      <c r="GE765"/>
      <c r="GF765"/>
      <c r="GG765"/>
      <c r="GH765"/>
    </row>
    <row r="766" spans="187:190" s="1" customFormat="1" ht="18" customHeight="1" x14ac:dyDescent="0.2">
      <c r="GE766"/>
      <c r="GF766"/>
      <c r="GG766"/>
      <c r="GH766"/>
    </row>
    <row r="767" spans="187:190" s="1" customFormat="1" ht="18" customHeight="1" x14ac:dyDescent="0.2">
      <c r="GE767"/>
      <c r="GF767"/>
      <c r="GG767"/>
      <c r="GH767"/>
    </row>
    <row r="768" spans="187:190" s="1" customFormat="1" ht="18" customHeight="1" x14ac:dyDescent="0.2">
      <c r="GE768"/>
      <c r="GF768"/>
      <c r="GG768"/>
      <c r="GH768"/>
    </row>
    <row r="769" spans="187:190" s="1" customFormat="1" ht="18" customHeight="1" x14ac:dyDescent="0.2">
      <c r="GE769"/>
      <c r="GF769"/>
      <c r="GG769"/>
      <c r="GH769"/>
    </row>
    <row r="770" spans="187:190" s="1" customFormat="1" ht="18" customHeight="1" x14ac:dyDescent="0.2">
      <c r="GE770"/>
      <c r="GF770"/>
      <c r="GG770"/>
      <c r="GH770"/>
    </row>
    <row r="771" spans="187:190" s="1" customFormat="1" ht="18" customHeight="1" x14ac:dyDescent="0.2">
      <c r="GE771"/>
      <c r="GF771"/>
      <c r="GG771"/>
      <c r="GH771"/>
    </row>
    <row r="772" spans="187:190" s="1" customFormat="1" ht="18" customHeight="1" x14ac:dyDescent="0.2">
      <c r="GE772"/>
      <c r="GF772"/>
      <c r="GG772"/>
      <c r="GH772"/>
    </row>
    <row r="773" spans="187:190" s="1" customFormat="1" ht="18" customHeight="1" x14ac:dyDescent="0.2">
      <c r="GE773"/>
      <c r="GF773"/>
      <c r="GG773"/>
      <c r="GH773"/>
    </row>
    <row r="774" spans="187:190" s="1" customFormat="1" ht="18" customHeight="1" x14ac:dyDescent="0.2">
      <c r="GE774"/>
      <c r="GF774"/>
      <c r="GG774"/>
      <c r="GH774"/>
    </row>
    <row r="775" spans="187:190" s="1" customFormat="1" ht="18" customHeight="1" x14ac:dyDescent="0.2">
      <c r="GE775"/>
      <c r="GF775"/>
      <c r="GG775"/>
      <c r="GH775"/>
    </row>
    <row r="776" spans="187:190" s="1" customFormat="1" ht="18" customHeight="1" x14ac:dyDescent="0.2">
      <c r="GE776"/>
      <c r="GF776"/>
      <c r="GG776"/>
      <c r="GH776"/>
    </row>
    <row r="777" spans="187:190" s="1" customFormat="1" ht="18" customHeight="1" x14ac:dyDescent="0.2">
      <c r="GE777"/>
      <c r="GF777"/>
      <c r="GG777"/>
      <c r="GH777"/>
    </row>
    <row r="778" spans="187:190" s="1" customFormat="1" ht="18" customHeight="1" x14ac:dyDescent="0.2">
      <c r="GE778"/>
      <c r="GF778"/>
      <c r="GG778"/>
      <c r="GH778"/>
    </row>
    <row r="779" spans="187:190" s="1" customFormat="1" ht="18" customHeight="1" x14ac:dyDescent="0.2">
      <c r="GE779"/>
      <c r="GF779"/>
      <c r="GG779"/>
      <c r="GH779"/>
    </row>
    <row r="780" spans="187:190" s="1" customFormat="1" ht="18" customHeight="1" x14ac:dyDescent="0.2">
      <c r="GE780"/>
      <c r="GF780"/>
      <c r="GG780"/>
      <c r="GH780"/>
    </row>
    <row r="781" spans="187:190" s="1" customFormat="1" ht="18" customHeight="1" x14ac:dyDescent="0.2">
      <c r="GE781"/>
      <c r="GF781"/>
      <c r="GG781"/>
      <c r="GH781"/>
    </row>
    <row r="782" spans="187:190" s="1" customFormat="1" ht="18" customHeight="1" x14ac:dyDescent="0.2">
      <c r="GE782"/>
      <c r="GF782"/>
      <c r="GG782"/>
      <c r="GH782"/>
    </row>
    <row r="783" spans="187:190" s="1" customFormat="1" ht="18" customHeight="1" x14ac:dyDescent="0.2">
      <c r="GE783"/>
      <c r="GF783"/>
      <c r="GG783"/>
      <c r="GH783"/>
    </row>
    <row r="784" spans="187:190" s="1" customFormat="1" ht="18" customHeight="1" x14ac:dyDescent="0.2">
      <c r="GE784"/>
      <c r="GF784"/>
      <c r="GG784"/>
      <c r="GH784"/>
    </row>
    <row r="785" spans="187:190" s="1" customFormat="1" ht="18" customHeight="1" x14ac:dyDescent="0.2">
      <c r="GE785"/>
      <c r="GF785"/>
      <c r="GG785"/>
      <c r="GH785"/>
    </row>
    <row r="786" spans="187:190" s="1" customFormat="1" ht="18" customHeight="1" x14ac:dyDescent="0.2">
      <c r="GE786"/>
      <c r="GF786"/>
      <c r="GG786"/>
      <c r="GH786"/>
    </row>
    <row r="787" spans="187:190" s="1" customFormat="1" ht="18" customHeight="1" x14ac:dyDescent="0.2">
      <c r="GE787"/>
      <c r="GF787"/>
      <c r="GG787"/>
      <c r="GH787"/>
    </row>
    <row r="788" spans="187:190" s="1" customFormat="1" ht="18" customHeight="1" x14ac:dyDescent="0.2">
      <c r="GE788"/>
      <c r="GF788"/>
      <c r="GG788"/>
      <c r="GH788"/>
    </row>
    <row r="789" spans="187:190" s="1" customFormat="1" ht="18" customHeight="1" x14ac:dyDescent="0.2">
      <c r="GE789"/>
      <c r="GF789"/>
      <c r="GG789"/>
      <c r="GH789"/>
    </row>
    <row r="790" spans="187:190" s="1" customFormat="1" ht="18" customHeight="1" x14ac:dyDescent="0.2">
      <c r="GE790"/>
      <c r="GF790"/>
      <c r="GG790"/>
      <c r="GH790"/>
    </row>
    <row r="791" spans="187:190" s="1" customFormat="1" ht="18" customHeight="1" x14ac:dyDescent="0.2">
      <c r="GE791"/>
      <c r="GF791"/>
      <c r="GG791"/>
      <c r="GH791"/>
    </row>
    <row r="792" spans="187:190" s="1" customFormat="1" ht="18" customHeight="1" x14ac:dyDescent="0.2">
      <c r="GE792"/>
      <c r="GF792"/>
      <c r="GG792"/>
      <c r="GH792"/>
    </row>
    <row r="793" spans="187:190" s="1" customFormat="1" ht="18" customHeight="1" x14ac:dyDescent="0.2">
      <c r="GE793"/>
      <c r="GF793"/>
      <c r="GG793"/>
      <c r="GH793"/>
    </row>
    <row r="794" spans="187:190" s="1" customFormat="1" ht="18" customHeight="1" x14ac:dyDescent="0.2">
      <c r="GE794"/>
      <c r="GF794"/>
      <c r="GG794"/>
      <c r="GH794"/>
    </row>
    <row r="795" spans="187:190" s="1" customFormat="1" ht="18" customHeight="1" x14ac:dyDescent="0.2">
      <c r="GE795"/>
      <c r="GF795"/>
      <c r="GG795"/>
      <c r="GH795"/>
    </row>
    <row r="796" spans="187:190" s="1" customFormat="1" ht="18" customHeight="1" x14ac:dyDescent="0.2">
      <c r="GE796"/>
      <c r="GF796"/>
      <c r="GG796"/>
      <c r="GH796"/>
    </row>
    <row r="797" spans="187:190" s="1" customFormat="1" ht="18" customHeight="1" x14ac:dyDescent="0.2">
      <c r="GE797"/>
      <c r="GF797"/>
      <c r="GG797"/>
      <c r="GH797"/>
    </row>
    <row r="798" spans="187:190" s="1" customFormat="1" ht="18" customHeight="1" x14ac:dyDescent="0.2">
      <c r="GE798"/>
      <c r="GF798"/>
      <c r="GG798"/>
      <c r="GH798"/>
    </row>
    <row r="799" spans="187:190" s="1" customFormat="1" ht="18" customHeight="1" x14ac:dyDescent="0.2">
      <c r="GE799"/>
      <c r="GF799"/>
      <c r="GG799"/>
      <c r="GH799"/>
    </row>
    <row r="800" spans="187:190" s="1" customFormat="1" ht="18" customHeight="1" x14ac:dyDescent="0.2">
      <c r="GE800"/>
      <c r="GF800"/>
      <c r="GG800"/>
      <c r="GH800"/>
    </row>
    <row r="801" spans="187:190" s="1" customFormat="1" ht="18" customHeight="1" x14ac:dyDescent="0.2">
      <c r="GE801"/>
      <c r="GF801"/>
      <c r="GG801"/>
      <c r="GH801"/>
    </row>
    <row r="802" spans="187:190" s="1" customFormat="1" ht="18" customHeight="1" x14ac:dyDescent="0.2">
      <c r="GE802"/>
      <c r="GF802"/>
      <c r="GG802"/>
      <c r="GH802"/>
    </row>
    <row r="803" spans="187:190" s="1" customFormat="1" ht="18" customHeight="1" x14ac:dyDescent="0.2">
      <c r="GE803"/>
      <c r="GF803"/>
      <c r="GG803"/>
      <c r="GH803"/>
    </row>
    <row r="804" spans="187:190" s="1" customFormat="1" ht="18" customHeight="1" x14ac:dyDescent="0.2">
      <c r="GE804"/>
      <c r="GF804"/>
      <c r="GG804"/>
      <c r="GH804"/>
    </row>
    <row r="805" spans="187:190" s="1" customFormat="1" ht="18" customHeight="1" x14ac:dyDescent="0.2">
      <c r="GE805"/>
      <c r="GF805"/>
      <c r="GG805"/>
      <c r="GH805"/>
    </row>
    <row r="806" spans="187:190" s="1" customFormat="1" ht="18" customHeight="1" x14ac:dyDescent="0.2">
      <c r="GE806"/>
      <c r="GF806"/>
      <c r="GG806"/>
      <c r="GH806"/>
    </row>
    <row r="807" spans="187:190" s="1" customFormat="1" ht="18" customHeight="1" x14ac:dyDescent="0.2">
      <c r="GE807"/>
      <c r="GF807"/>
      <c r="GG807"/>
      <c r="GH807"/>
    </row>
    <row r="808" spans="187:190" s="1" customFormat="1" ht="18" customHeight="1" x14ac:dyDescent="0.2">
      <c r="GE808"/>
      <c r="GF808"/>
      <c r="GG808"/>
      <c r="GH808"/>
    </row>
    <row r="809" spans="187:190" s="1" customFormat="1" ht="18" customHeight="1" x14ac:dyDescent="0.2">
      <c r="GE809"/>
      <c r="GF809"/>
      <c r="GG809"/>
      <c r="GH809"/>
    </row>
    <row r="810" spans="187:190" s="1" customFormat="1" ht="18" customHeight="1" x14ac:dyDescent="0.2">
      <c r="GE810"/>
      <c r="GF810"/>
      <c r="GG810"/>
      <c r="GH810"/>
    </row>
    <row r="811" spans="187:190" s="1" customFormat="1" ht="18" customHeight="1" x14ac:dyDescent="0.2">
      <c r="GE811"/>
      <c r="GF811"/>
      <c r="GG811"/>
      <c r="GH811"/>
    </row>
    <row r="812" spans="187:190" s="1" customFormat="1" ht="18" customHeight="1" x14ac:dyDescent="0.2">
      <c r="GE812"/>
      <c r="GF812"/>
      <c r="GG812"/>
      <c r="GH812"/>
    </row>
    <row r="813" spans="187:190" s="1" customFormat="1" ht="18" customHeight="1" x14ac:dyDescent="0.2">
      <c r="GE813"/>
      <c r="GF813"/>
      <c r="GG813"/>
      <c r="GH813"/>
    </row>
    <row r="814" spans="187:190" s="1" customFormat="1" ht="18" customHeight="1" x14ac:dyDescent="0.2">
      <c r="GE814"/>
      <c r="GF814"/>
      <c r="GG814"/>
      <c r="GH814"/>
    </row>
    <row r="815" spans="187:190" s="1" customFormat="1" ht="18" customHeight="1" x14ac:dyDescent="0.2">
      <c r="GE815"/>
      <c r="GF815"/>
      <c r="GG815"/>
      <c r="GH815"/>
    </row>
    <row r="816" spans="187:190" s="1" customFormat="1" ht="18" customHeight="1" x14ac:dyDescent="0.2">
      <c r="GE816"/>
      <c r="GF816"/>
      <c r="GG816"/>
      <c r="GH816"/>
    </row>
    <row r="817" spans="187:190" s="1" customFormat="1" ht="18" customHeight="1" x14ac:dyDescent="0.2">
      <c r="GE817"/>
      <c r="GF817"/>
      <c r="GG817"/>
      <c r="GH817"/>
    </row>
    <row r="818" spans="187:190" s="1" customFormat="1" ht="18" customHeight="1" x14ac:dyDescent="0.2">
      <c r="GE818"/>
      <c r="GF818"/>
      <c r="GG818"/>
      <c r="GH818"/>
    </row>
    <row r="819" spans="187:190" s="1" customFormat="1" ht="18" customHeight="1" x14ac:dyDescent="0.2">
      <c r="GE819"/>
      <c r="GF819"/>
      <c r="GG819"/>
      <c r="GH819"/>
    </row>
    <row r="820" spans="187:190" s="1" customFormat="1" ht="18" customHeight="1" x14ac:dyDescent="0.2">
      <c r="GE820"/>
      <c r="GF820"/>
      <c r="GG820"/>
      <c r="GH820"/>
    </row>
    <row r="821" spans="187:190" s="1" customFormat="1" ht="18" customHeight="1" x14ac:dyDescent="0.2">
      <c r="GE821"/>
      <c r="GF821"/>
      <c r="GG821"/>
      <c r="GH821"/>
    </row>
    <row r="822" spans="187:190" s="1" customFormat="1" ht="18" customHeight="1" x14ac:dyDescent="0.2">
      <c r="GE822"/>
      <c r="GF822"/>
      <c r="GG822"/>
      <c r="GH822"/>
    </row>
    <row r="823" spans="187:190" s="1" customFormat="1" ht="18" customHeight="1" x14ac:dyDescent="0.2">
      <c r="GE823"/>
      <c r="GF823"/>
      <c r="GG823"/>
      <c r="GH823"/>
    </row>
    <row r="824" spans="187:190" s="1" customFormat="1" ht="18" customHeight="1" x14ac:dyDescent="0.2">
      <c r="GE824"/>
      <c r="GF824"/>
      <c r="GG824"/>
      <c r="GH824"/>
    </row>
    <row r="825" spans="187:190" s="1" customFormat="1" ht="18" customHeight="1" x14ac:dyDescent="0.2">
      <c r="GE825"/>
      <c r="GF825"/>
      <c r="GG825"/>
      <c r="GH825"/>
    </row>
    <row r="826" spans="187:190" s="1" customFormat="1" ht="18" customHeight="1" x14ac:dyDescent="0.2">
      <c r="GE826"/>
      <c r="GF826"/>
      <c r="GG826"/>
      <c r="GH826"/>
    </row>
    <row r="827" spans="187:190" s="1" customFormat="1" ht="18" customHeight="1" x14ac:dyDescent="0.2">
      <c r="GE827"/>
      <c r="GF827"/>
      <c r="GG827"/>
      <c r="GH827"/>
    </row>
    <row r="828" spans="187:190" s="1" customFormat="1" ht="18" customHeight="1" x14ac:dyDescent="0.2">
      <c r="GE828"/>
      <c r="GF828"/>
      <c r="GG828"/>
      <c r="GH828"/>
    </row>
    <row r="829" spans="187:190" s="1" customFormat="1" ht="18" customHeight="1" x14ac:dyDescent="0.2">
      <c r="GE829"/>
      <c r="GF829"/>
      <c r="GG829"/>
      <c r="GH829"/>
    </row>
    <row r="830" spans="187:190" s="1" customFormat="1" ht="18" customHeight="1" x14ac:dyDescent="0.2">
      <c r="GE830"/>
      <c r="GF830"/>
      <c r="GG830"/>
      <c r="GH830"/>
    </row>
    <row r="831" spans="187:190" s="1" customFormat="1" ht="18" customHeight="1" x14ac:dyDescent="0.2">
      <c r="GE831"/>
      <c r="GF831"/>
      <c r="GG831"/>
      <c r="GH831"/>
    </row>
    <row r="832" spans="187:190" s="1" customFormat="1" ht="18" customHeight="1" x14ac:dyDescent="0.2">
      <c r="GE832"/>
      <c r="GF832"/>
      <c r="GG832"/>
      <c r="GH832"/>
    </row>
    <row r="833" spans="187:190" s="1" customFormat="1" ht="18" customHeight="1" x14ac:dyDescent="0.2">
      <c r="GE833"/>
      <c r="GF833"/>
      <c r="GG833"/>
      <c r="GH833"/>
    </row>
    <row r="834" spans="187:190" s="1" customFormat="1" ht="18" customHeight="1" x14ac:dyDescent="0.2">
      <c r="GE834"/>
      <c r="GF834"/>
      <c r="GG834"/>
      <c r="GH834"/>
    </row>
    <row r="835" spans="187:190" s="1" customFormat="1" ht="18" customHeight="1" x14ac:dyDescent="0.2">
      <c r="GE835"/>
      <c r="GF835"/>
      <c r="GG835"/>
      <c r="GH835"/>
    </row>
    <row r="836" spans="187:190" s="1" customFormat="1" ht="18" customHeight="1" x14ac:dyDescent="0.2">
      <c r="GE836"/>
      <c r="GF836"/>
      <c r="GG836"/>
      <c r="GH836"/>
    </row>
    <row r="837" spans="187:190" s="1" customFormat="1" ht="18" customHeight="1" x14ac:dyDescent="0.2">
      <c r="GE837"/>
      <c r="GF837"/>
      <c r="GG837"/>
      <c r="GH837"/>
    </row>
    <row r="838" spans="187:190" s="1" customFormat="1" ht="18" customHeight="1" x14ac:dyDescent="0.2">
      <c r="GE838"/>
      <c r="GF838"/>
      <c r="GG838"/>
      <c r="GH838"/>
    </row>
    <row r="839" spans="187:190" s="1" customFormat="1" ht="18" customHeight="1" x14ac:dyDescent="0.2">
      <c r="GE839"/>
      <c r="GF839"/>
      <c r="GG839"/>
      <c r="GH839"/>
    </row>
    <row r="840" spans="187:190" s="1" customFormat="1" ht="18" customHeight="1" x14ac:dyDescent="0.2">
      <c r="GE840"/>
      <c r="GF840"/>
      <c r="GG840"/>
      <c r="GH840"/>
    </row>
    <row r="841" spans="187:190" s="1" customFormat="1" ht="18" customHeight="1" x14ac:dyDescent="0.2">
      <c r="GE841"/>
      <c r="GF841"/>
      <c r="GG841"/>
      <c r="GH841"/>
    </row>
    <row r="842" spans="187:190" s="1" customFormat="1" ht="18" customHeight="1" x14ac:dyDescent="0.2">
      <c r="GE842"/>
      <c r="GF842"/>
      <c r="GG842"/>
      <c r="GH842"/>
    </row>
    <row r="843" spans="187:190" s="1" customFormat="1" ht="18" customHeight="1" x14ac:dyDescent="0.2">
      <c r="GE843"/>
      <c r="GF843"/>
      <c r="GG843"/>
      <c r="GH843"/>
    </row>
    <row r="844" spans="187:190" s="1" customFormat="1" ht="18" customHeight="1" x14ac:dyDescent="0.2">
      <c r="GE844"/>
      <c r="GF844"/>
      <c r="GG844"/>
      <c r="GH844"/>
    </row>
    <row r="845" spans="187:190" s="1" customFormat="1" ht="18" customHeight="1" x14ac:dyDescent="0.2">
      <c r="GE845"/>
      <c r="GF845"/>
      <c r="GG845"/>
      <c r="GH845"/>
    </row>
    <row r="846" spans="187:190" s="1" customFormat="1" ht="18" customHeight="1" x14ac:dyDescent="0.2">
      <c r="GE846"/>
      <c r="GF846"/>
      <c r="GG846"/>
      <c r="GH846"/>
    </row>
    <row r="847" spans="187:190" s="1" customFormat="1" ht="18" customHeight="1" x14ac:dyDescent="0.2">
      <c r="GE847"/>
      <c r="GF847"/>
      <c r="GG847"/>
      <c r="GH847"/>
    </row>
    <row r="848" spans="187:190" s="1" customFormat="1" ht="18" customHeight="1" x14ac:dyDescent="0.2">
      <c r="GE848"/>
      <c r="GF848"/>
      <c r="GG848"/>
      <c r="GH848"/>
    </row>
    <row r="849" spans="187:190" s="1" customFormat="1" ht="18" customHeight="1" x14ac:dyDescent="0.2">
      <c r="GE849"/>
      <c r="GF849"/>
      <c r="GG849"/>
      <c r="GH849"/>
    </row>
    <row r="850" spans="187:190" s="1" customFormat="1" ht="18" customHeight="1" x14ac:dyDescent="0.2">
      <c r="GE850"/>
      <c r="GF850"/>
      <c r="GG850"/>
      <c r="GH850"/>
    </row>
    <row r="851" spans="187:190" s="1" customFormat="1" ht="18" customHeight="1" x14ac:dyDescent="0.2">
      <c r="GE851"/>
      <c r="GF851"/>
      <c r="GG851"/>
      <c r="GH851"/>
    </row>
    <row r="852" spans="187:190" s="1" customFormat="1" ht="18" customHeight="1" x14ac:dyDescent="0.2">
      <c r="GE852"/>
      <c r="GF852"/>
      <c r="GG852"/>
      <c r="GH852"/>
    </row>
    <row r="853" spans="187:190" s="1" customFormat="1" ht="18" customHeight="1" x14ac:dyDescent="0.2">
      <c r="GE853"/>
      <c r="GF853"/>
      <c r="GG853"/>
      <c r="GH853"/>
    </row>
    <row r="854" spans="187:190" s="1" customFormat="1" ht="18" customHeight="1" x14ac:dyDescent="0.2">
      <c r="GE854"/>
      <c r="GF854"/>
      <c r="GG854"/>
      <c r="GH854"/>
    </row>
    <row r="855" spans="187:190" s="1" customFormat="1" ht="18" customHeight="1" x14ac:dyDescent="0.2">
      <c r="GE855"/>
      <c r="GF855"/>
      <c r="GG855"/>
      <c r="GH855"/>
    </row>
    <row r="856" spans="187:190" s="1" customFormat="1" ht="18" customHeight="1" x14ac:dyDescent="0.2">
      <c r="GE856"/>
      <c r="GF856"/>
      <c r="GG856"/>
      <c r="GH856"/>
    </row>
    <row r="857" spans="187:190" s="1" customFormat="1" ht="18" customHeight="1" x14ac:dyDescent="0.2">
      <c r="GE857"/>
      <c r="GF857"/>
      <c r="GG857"/>
      <c r="GH857"/>
    </row>
    <row r="858" spans="187:190" s="1" customFormat="1" ht="18" customHeight="1" x14ac:dyDescent="0.2">
      <c r="GE858"/>
      <c r="GF858"/>
      <c r="GG858"/>
      <c r="GH858"/>
    </row>
    <row r="859" spans="187:190" s="1" customFormat="1" ht="18" customHeight="1" x14ac:dyDescent="0.2">
      <c r="GE859"/>
      <c r="GF859"/>
      <c r="GG859"/>
      <c r="GH859"/>
    </row>
    <row r="860" spans="187:190" s="1" customFormat="1" ht="18" customHeight="1" x14ac:dyDescent="0.2">
      <c r="GE860"/>
      <c r="GF860"/>
      <c r="GG860"/>
      <c r="GH860"/>
    </row>
    <row r="861" spans="187:190" s="1" customFormat="1" ht="18" customHeight="1" x14ac:dyDescent="0.2">
      <c r="GE861"/>
      <c r="GF861"/>
      <c r="GG861"/>
      <c r="GH861"/>
    </row>
    <row r="862" spans="187:190" s="1" customFormat="1" ht="18" customHeight="1" x14ac:dyDescent="0.2">
      <c r="GE862"/>
      <c r="GF862"/>
      <c r="GG862"/>
      <c r="GH862"/>
    </row>
    <row r="863" spans="187:190" s="1" customFormat="1" ht="18" customHeight="1" x14ac:dyDescent="0.2">
      <c r="GE863"/>
      <c r="GF863"/>
      <c r="GG863"/>
      <c r="GH863"/>
    </row>
    <row r="864" spans="187:190" s="1" customFormat="1" ht="18" customHeight="1" x14ac:dyDescent="0.2">
      <c r="GE864"/>
      <c r="GF864"/>
      <c r="GG864"/>
      <c r="GH864"/>
    </row>
    <row r="865" spans="187:190" s="1" customFormat="1" ht="18" customHeight="1" x14ac:dyDescent="0.2">
      <c r="GE865"/>
      <c r="GF865"/>
      <c r="GG865"/>
      <c r="GH865"/>
    </row>
    <row r="866" spans="187:190" s="1" customFormat="1" ht="18" customHeight="1" x14ac:dyDescent="0.2">
      <c r="GE866"/>
      <c r="GF866"/>
      <c r="GG866"/>
      <c r="GH866"/>
    </row>
    <row r="867" spans="187:190" s="1" customFormat="1" ht="18" customHeight="1" x14ac:dyDescent="0.2">
      <c r="GE867"/>
      <c r="GF867"/>
      <c r="GG867"/>
      <c r="GH867"/>
    </row>
    <row r="868" spans="187:190" s="1" customFormat="1" ht="18" customHeight="1" x14ac:dyDescent="0.2">
      <c r="GE868"/>
      <c r="GF868"/>
      <c r="GG868"/>
      <c r="GH868"/>
    </row>
    <row r="869" spans="187:190" s="1" customFormat="1" ht="18" customHeight="1" x14ac:dyDescent="0.2">
      <c r="GE869"/>
      <c r="GF869"/>
      <c r="GG869"/>
      <c r="GH869"/>
    </row>
    <row r="870" spans="187:190" s="1" customFormat="1" ht="18" customHeight="1" x14ac:dyDescent="0.2">
      <c r="GE870"/>
      <c r="GF870"/>
      <c r="GG870"/>
      <c r="GH870"/>
    </row>
    <row r="871" spans="187:190" s="1" customFormat="1" ht="18" customHeight="1" x14ac:dyDescent="0.2">
      <c r="GE871"/>
      <c r="GF871"/>
      <c r="GG871"/>
      <c r="GH871"/>
    </row>
    <row r="872" spans="187:190" s="1" customFormat="1" ht="18" customHeight="1" x14ac:dyDescent="0.2">
      <c r="GE872"/>
      <c r="GF872"/>
      <c r="GG872"/>
      <c r="GH872"/>
    </row>
    <row r="873" spans="187:190" s="1" customFormat="1" ht="18" customHeight="1" x14ac:dyDescent="0.2">
      <c r="GE873"/>
      <c r="GF873"/>
      <c r="GG873"/>
      <c r="GH873"/>
    </row>
    <row r="874" spans="187:190" s="1" customFormat="1" ht="18" customHeight="1" x14ac:dyDescent="0.2">
      <c r="GE874"/>
      <c r="GF874"/>
      <c r="GG874"/>
      <c r="GH874"/>
    </row>
    <row r="875" spans="187:190" s="1" customFormat="1" ht="18" customHeight="1" x14ac:dyDescent="0.2">
      <c r="GE875"/>
      <c r="GF875"/>
      <c r="GG875"/>
      <c r="GH875"/>
    </row>
    <row r="876" spans="187:190" s="1" customFormat="1" ht="18" customHeight="1" x14ac:dyDescent="0.2">
      <c r="GE876"/>
      <c r="GF876"/>
      <c r="GG876"/>
      <c r="GH876"/>
    </row>
    <row r="877" spans="187:190" s="1" customFormat="1" ht="18" customHeight="1" x14ac:dyDescent="0.2">
      <c r="GE877"/>
      <c r="GF877"/>
      <c r="GG877"/>
      <c r="GH877"/>
    </row>
    <row r="878" spans="187:190" s="1" customFormat="1" ht="18" customHeight="1" x14ac:dyDescent="0.2">
      <c r="GE878"/>
      <c r="GF878"/>
      <c r="GG878"/>
      <c r="GH878"/>
    </row>
    <row r="879" spans="187:190" s="1" customFormat="1" ht="18" customHeight="1" x14ac:dyDescent="0.2">
      <c r="GE879"/>
      <c r="GF879"/>
      <c r="GG879"/>
      <c r="GH879"/>
    </row>
    <row r="880" spans="187:190" s="1" customFormat="1" ht="18" customHeight="1" x14ac:dyDescent="0.2">
      <c r="GE880"/>
      <c r="GF880"/>
      <c r="GG880"/>
      <c r="GH880"/>
    </row>
    <row r="881" spans="187:190" s="1" customFormat="1" ht="18" customHeight="1" x14ac:dyDescent="0.2">
      <c r="GE881"/>
      <c r="GF881"/>
      <c r="GG881"/>
      <c r="GH881"/>
    </row>
    <row r="882" spans="187:190" s="1" customFormat="1" ht="18" customHeight="1" x14ac:dyDescent="0.2">
      <c r="GE882"/>
      <c r="GF882"/>
      <c r="GG882"/>
      <c r="GH882"/>
    </row>
    <row r="883" spans="187:190" s="1" customFormat="1" ht="18" customHeight="1" x14ac:dyDescent="0.2">
      <c r="GE883"/>
      <c r="GF883"/>
      <c r="GG883"/>
      <c r="GH883"/>
    </row>
    <row r="884" spans="187:190" s="1" customFormat="1" ht="18" customHeight="1" x14ac:dyDescent="0.2">
      <c r="GE884"/>
      <c r="GF884"/>
      <c r="GG884"/>
      <c r="GH884"/>
    </row>
    <row r="885" spans="187:190" s="1" customFormat="1" ht="18" customHeight="1" x14ac:dyDescent="0.2">
      <c r="GE885"/>
      <c r="GF885"/>
      <c r="GG885"/>
      <c r="GH885"/>
    </row>
    <row r="886" spans="187:190" s="1" customFormat="1" ht="18" customHeight="1" x14ac:dyDescent="0.2">
      <c r="GE886"/>
      <c r="GF886"/>
      <c r="GG886"/>
      <c r="GH886"/>
    </row>
    <row r="887" spans="187:190" s="1" customFormat="1" ht="18" customHeight="1" x14ac:dyDescent="0.2">
      <c r="GE887"/>
      <c r="GF887"/>
      <c r="GG887"/>
      <c r="GH887"/>
    </row>
    <row r="888" spans="187:190" s="1" customFormat="1" ht="18" customHeight="1" x14ac:dyDescent="0.2">
      <c r="GE888"/>
      <c r="GF888"/>
      <c r="GG888"/>
      <c r="GH888"/>
    </row>
    <row r="889" spans="187:190" s="1" customFormat="1" ht="18" customHeight="1" x14ac:dyDescent="0.2">
      <c r="GE889"/>
      <c r="GF889"/>
      <c r="GG889"/>
      <c r="GH889"/>
    </row>
    <row r="890" spans="187:190" s="1" customFormat="1" ht="18" customHeight="1" x14ac:dyDescent="0.2">
      <c r="GE890"/>
      <c r="GF890"/>
      <c r="GG890"/>
      <c r="GH890"/>
    </row>
    <row r="891" spans="187:190" s="1" customFormat="1" ht="18" customHeight="1" x14ac:dyDescent="0.2">
      <c r="GE891"/>
      <c r="GF891"/>
      <c r="GG891"/>
      <c r="GH891"/>
    </row>
    <row r="892" spans="187:190" s="1" customFormat="1" ht="18" customHeight="1" x14ac:dyDescent="0.2">
      <c r="GE892"/>
      <c r="GF892"/>
      <c r="GG892"/>
      <c r="GH892"/>
    </row>
    <row r="893" spans="187:190" s="1" customFormat="1" ht="18" customHeight="1" x14ac:dyDescent="0.2">
      <c r="GE893"/>
      <c r="GF893"/>
      <c r="GG893"/>
      <c r="GH893"/>
    </row>
    <row r="894" spans="187:190" s="1" customFormat="1" ht="18" customHeight="1" x14ac:dyDescent="0.2">
      <c r="GE894"/>
      <c r="GF894"/>
      <c r="GG894"/>
      <c r="GH894"/>
    </row>
    <row r="895" spans="187:190" s="1" customFormat="1" ht="18" customHeight="1" x14ac:dyDescent="0.2">
      <c r="GE895"/>
      <c r="GF895"/>
      <c r="GG895"/>
      <c r="GH895"/>
    </row>
    <row r="896" spans="187:190" s="1" customFormat="1" ht="18" customHeight="1" x14ac:dyDescent="0.2">
      <c r="GE896"/>
      <c r="GF896"/>
      <c r="GG896"/>
      <c r="GH896"/>
    </row>
    <row r="897" spans="187:190" s="1" customFormat="1" ht="18" customHeight="1" x14ac:dyDescent="0.2">
      <c r="GE897"/>
      <c r="GF897"/>
      <c r="GG897"/>
      <c r="GH897"/>
    </row>
    <row r="898" spans="187:190" s="1" customFormat="1" ht="18" customHeight="1" x14ac:dyDescent="0.2">
      <c r="GE898"/>
      <c r="GF898"/>
      <c r="GG898"/>
      <c r="GH898"/>
    </row>
    <row r="899" spans="187:190" s="1" customFormat="1" ht="18" customHeight="1" x14ac:dyDescent="0.2">
      <c r="GE899"/>
      <c r="GF899"/>
      <c r="GG899"/>
      <c r="GH899"/>
    </row>
    <row r="900" spans="187:190" s="1" customFormat="1" ht="18" customHeight="1" x14ac:dyDescent="0.2">
      <c r="GE900"/>
      <c r="GF900"/>
      <c r="GG900"/>
      <c r="GH900"/>
    </row>
    <row r="901" spans="187:190" s="1" customFormat="1" ht="18" customHeight="1" x14ac:dyDescent="0.2">
      <c r="GE901"/>
      <c r="GF901"/>
      <c r="GG901"/>
      <c r="GH901"/>
    </row>
    <row r="902" spans="187:190" s="1" customFormat="1" ht="18" customHeight="1" x14ac:dyDescent="0.2">
      <c r="GE902"/>
      <c r="GF902"/>
      <c r="GG902"/>
      <c r="GH902"/>
    </row>
    <row r="903" spans="187:190" s="1" customFormat="1" ht="18" customHeight="1" x14ac:dyDescent="0.2">
      <c r="GE903"/>
      <c r="GF903"/>
      <c r="GG903"/>
      <c r="GH903"/>
    </row>
    <row r="904" spans="187:190" s="1" customFormat="1" ht="18" customHeight="1" x14ac:dyDescent="0.2">
      <c r="GE904"/>
      <c r="GF904"/>
      <c r="GG904"/>
      <c r="GH904"/>
    </row>
    <row r="905" spans="187:190" s="1" customFormat="1" ht="18" customHeight="1" x14ac:dyDescent="0.2">
      <c r="GE905"/>
      <c r="GF905"/>
      <c r="GG905"/>
      <c r="GH905"/>
    </row>
    <row r="906" spans="187:190" s="1" customFormat="1" ht="18" customHeight="1" x14ac:dyDescent="0.2">
      <c r="GE906"/>
      <c r="GF906"/>
      <c r="GG906"/>
      <c r="GH906"/>
    </row>
    <row r="907" spans="187:190" s="1" customFormat="1" ht="18" customHeight="1" x14ac:dyDescent="0.2">
      <c r="GE907"/>
      <c r="GF907"/>
      <c r="GG907"/>
      <c r="GH907"/>
    </row>
    <row r="908" spans="187:190" s="1" customFormat="1" ht="18" customHeight="1" x14ac:dyDescent="0.2">
      <c r="GE908"/>
      <c r="GF908"/>
      <c r="GG908"/>
      <c r="GH908"/>
    </row>
    <row r="909" spans="187:190" s="1" customFormat="1" ht="18" customHeight="1" x14ac:dyDescent="0.2">
      <c r="GE909"/>
      <c r="GF909"/>
      <c r="GG909"/>
      <c r="GH909"/>
    </row>
    <row r="910" spans="187:190" s="1" customFormat="1" ht="18" customHeight="1" x14ac:dyDescent="0.2">
      <c r="GE910"/>
      <c r="GF910"/>
      <c r="GG910"/>
      <c r="GH910"/>
    </row>
    <row r="911" spans="187:190" s="1" customFormat="1" ht="18" customHeight="1" x14ac:dyDescent="0.2">
      <c r="GE911"/>
      <c r="GF911"/>
      <c r="GG911"/>
      <c r="GH911"/>
    </row>
    <row r="912" spans="187:190" s="1" customFormat="1" ht="18" customHeight="1" x14ac:dyDescent="0.2">
      <c r="GE912"/>
      <c r="GF912"/>
      <c r="GG912"/>
      <c r="GH912"/>
    </row>
    <row r="913" spans="187:190" s="1" customFormat="1" ht="18" customHeight="1" x14ac:dyDescent="0.2">
      <c r="GE913"/>
      <c r="GF913"/>
      <c r="GG913"/>
      <c r="GH913"/>
    </row>
    <row r="914" spans="187:190" s="1" customFormat="1" ht="18" customHeight="1" x14ac:dyDescent="0.2">
      <c r="GE914"/>
      <c r="GF914"/>
      <c r="GG914"/>
      <c r="GH914"/>
    </row>
    <row r="915" spans="187:190" s="1" customFormat="1" ht="18" customHeight="1" x14ac:dyDescent="0.2">
      <c r="GE915"/>
      <c r="GF915"/>
      <c r="GG915"/>
      <c r="GH915"/>
    </row>
    <row r="916" spans="187:190" s="1" customFormat="1" ht="18" customHeight="1" x14ac:dyDescent="0.2">
      <c r="GE916"/>
      <c r="GF916"/>
      <c r="GG916"/>
      <c r="GH916"/>
    </row>
    <row r="917" spans="187:190" s="1" customFormat="1" ht="18" customHeight="1" x14ac:dyDescent="0.2">
      <c r="GE917"/>
      <c r="GF917"/>
      <c r="GG917"/>
      <c r="GH917"/>
    </row>
    <row r="918" spans="187:190" s="1" customFormat="1" ht="18" customHeight="1" x14ac:dyDescent="0.2">
      <c r="GE918"/>
      <c r="GF918"/>
      <c r="GG918"/>
      <c r="GH918"/>
    </row>
    <row r="919" spans="187:190" s="1" customFormat="1" ht="18" customHeight="1" x14ac:dyDescent="0.2">
      <c r="GE919"/>
      <c r="GF919"/>
      <c r="GG919"/>
      <c r="GH919"/>
    </row>
    <row r="920" spans="187:190" s="1" customFormat="1" ht="18" customHeight="1" x14ac:dyDescent="0.2">
      <c r="GE920"/>
      <c r="GF920"/>
      <c r="GG920"/>
      <c r="GH920"/>
    </row>
    <row r="921" spans="187:190" s="1" customFormat="1" ht="18" customHeight="1" x14ac:dyDescent="0.2">
      <c r="GE921"/>
      <c r="GF921"/>
      <c r="GG921"/>
      <c r="GH921"/>
    </row>
    <row r="922" spans="187:190" s="1" customFormat="1" ht="18" customHeight="1" x14ac:dyDescent="0.2">
      <c r="GE922"/>
      <c r="GF922"/>
      <c r="GG922"/>
      <c r="GH922"/>
    </row>
    <row r="923" spans="187:190" s="1" customFormat="1" ht="18" customHeight="1" x14ac:dyDescent="0.2">
      <c r="GE923"/>
      <c r="GF923"/>
      <c r="GG923"/>
      <c r="GH923"/>
    </row>
    <row r="924" spans="187:190" s="1" customFormat="1" ht="18" customHeight="1" x14ac:dyDescent="0.2">
      <c r="GE924"/>
      <c r="GF924"/>
      <c r="GG924"/>
      <c r="GH924"/>
    </row>
    <row r="925" spans="187:190" s="1" customFormat="1" ht="18" customHeight="1" x14ac:dyDescent="0.2">
      <c r="GE925"/>
      <c r="GF925"/>
      <c r="GG925"/>
      <c r="GH925"/>
    </row>
    <row r="926" spans="187:190" s="1" customFormat="1" ht="18" customHeight="1" x14ac:dyDescent="0.2">
      <c r="GE926"/>
      <c r="GF926"/>
      <c r="GG926"/>
      <c r="GH926"/>
    </row>
    <row r="927" spans="187:190" s="1" customFormat="1" ht="18" customHeight="1" x14ac:dyDescent="0.2">
      <c r="GE927"/>
      <c r="GF927"/>
      <c r="GG927"/>
      <c r="GH927"/>
    </row>
    <row r="928" spans="187:190" s="1" customFormat="1" ht="18" customHeight="1" x14ac:dyDescent="0.2">
      <c r="GE928"/>
      <c r="GF928"/>
      <c r="GG928"/>
      <c r="GH928"/>
    </row>
    <row r="929" spans="187:190" s="1" customFormat="1" ht="18" customHeight="1" x14ac:dyDescent="0.2">
      <c r="GE929"/>
      <c r="GF929"/>
      <c r="GG929"/>
      <c r="GH929"/>
    </row>
    <row r="930" spans="187:190" s="1" customFormat="1" ht="18" customHeight="1" x14ac:dyDescent="0.2">
      <c r="GE930"/>
      <c r="GF930"/>
      <c r="GG930"/>
      <c r="GH930"/>
    </row>
    <row r="931" spans="187:190" s="1" customFormat="1" ht="18" customHeight="1" x14ac:dyDescent="0.2">
      <c r="GE931"/>
      <c r="GF931"/>
      <c r="GG931"/>
      <c r="GH931"/>
    </row>
    <row r="932" spans="187:190" s="1" customFormat="1" ht="18" customHeight="1" x14ac:dyDescent="0.2">
      <c r="GE932"/>
      <c r="GF932"/>
      <c r="GG932"/>
      <c r="GH932"/>
    </row>
    <row r="933" spans="187:190" s="1" customFormat="1" ht="18" customHeight="1" x14ac:dyDescent="0.2">
      <c r="GE933"/>
      <c r="GF933"/>
      <c r="GG933"/>
      <c r="GH933"/>
    </row>
    <row r="934" spans="187:190" s="1" customFormat="1" ht="18" customHeight="1" x14ac:dyDescent="0.2">
      <c r="GE934"/>
      <c r="GF934"/>
      <c r="GG934"/>
      <c r="GH934"/>
    </row>
    <row r="935" spans="187:190" s="1" customFormat="1" ht="18" customHeight="1" x14ac:dyDescent="0.2">
      <c r="GE935"/>
      <c r="GF935"/>
      <c r="GG935"/>
      <c r="GH935"/>
    </row>
    <row r="936" spans="187:190" s="1" customFormat="1" ht="18" customHeight="1" x14ac:dyDescent="0.2">
      <c r="GE936"/>
      <c r="GF936"/>
      <c r="GG936"/>
      <c r="GH936"/>
    </row>
    <row r="937" spans="187:190" s="1" customFormat="1" ht="18" customHeight="1" x14ac:dyDescent="0.2">
      <c r="GE937"/>
      <c r="GF937"/>
      <c r="GG937"/>
      <c r="GH937"/>
    </row>
    <row r="938" spans="187:190" s="1" customFormat="1" ht="18" customHeight="1" x14ac:dyDescent="0.2">
      <c r="GE938"/>
      <c r="GF938"/>
      <c r="GG938"/>
      <c r="GH938"/>
    </row>
    <row r="939" spans="187:190" s="1" customFormat="1" ht="18" customHeight="1" x14ac:dyDescent="0.2">
      <c r="GE939"/>
      <c r="GF939"/>
      <c r="GG939"/>
      <c r="GH939"/>
    </row>
    <row r="940" spans="187:190" s="1" customFormat="1" ht="18" customHeight="1" x14ac:dyDescent="0.2">
      <c r="GE940"/>
      <c r="GF940"/>
      <c r="GG940"/>
      <c r="GH940"/>
    </row>
    <row r="941" spans="187:190" s="1" customFormat="1" ht="18" customHeight="1" x14ac:dyDescent="0.2">
      <c r="GE941"/>
      <c r="GF941"/>
      <c r="GG941"/>
      <c r="GH941"/>
    </row>
    <row r="942" spans="187:190" s="1" customFormat="1" ht="18" customHeight="1" x14ac:dyDescent="0.2">
      <c r="GE942"/>
      <c r="GF942"/>
      <c r="GG942"/>
      <c r="GH942"/>
    </row>
    <row r="943" spans="187:190" s="1" customFormat="1" ht="18" customHeight="1" x14ac:dyDescent="0.2">
      <c r="GE943"/>
      <c r="GF943"/>
      <c r="GG943"/>
      <c r="GH943"/>
    </row>
    <row r="944" spans="187:190" s="1" customFormat="1" ht="18" customHeight="1" x14ac:dyDescent="0.2">
      <c r="GE944"/>
      <c r="GF944"/>
      <c r="GG944"/>
      <c r="GH944"/>
    </row>
    <row r="945" spans="187:190" s="1" customFormat="1" ht="18" customHeight="1" x14ac:dyDescent="0.2">
      <c r="GE945"/>
      <c r="GF945"/>
      <c r="GG945"/>
      <c r="GH945"/>
    </row>
    <row r="946" spans="187:190" s="1" customFormat="1" ht="18" customHeight="1" x14ac:dyDescent="0.2">
      <c r="GE946"/>
      <c r="GF946"/>
      <c r="GG946"/>
      <c r="GH946"/>
    </row>
    <row r="947" spans="187:190" s="1" customFormat="1" ht="18" customHeight="1" x14ac:dyDescent="0.2">
      <c r="GE947"/>
      <c r="GF947"/>
      <c r="GG947"/>
      <c r="GH947"/>
    </row>
    <row r="948" spans="187:190" s="1" customFormat="1" ht="18" customHeight="1" x14ac:dyDescent="0.2">
      <c r="GE948"/>
      <c r="GF948"/>
      <c r="GG948"/>
      <c r="GH948"/>
    </row>
    <row r="949" spans="187:190" s="1" customFormat="1" ht="18" customHeight="1" x14ac:dyDescent="0.2">
      <c r="GE949"/>
      <c r="GF949"/>
      <c r="GG949"/>
      <c r="GH949"/>
    </row>
    <row r="950" spans="187:190" s="1" customFormat="1" ht="18" customHeight="1" x14ac:dyDescent="0.2">
      <c r="GE950"/>
      <c r="GF950"/>
      <c r="GG950"/>
      <c r="GH950"/>
    </row>
    <row r="951" spans="187:190" s="1" customFormat="1" ht="18" customHeight="1" x14ac:dyDescent="0.2">
      <c r="GE951"/>
      <c r="GF951"/>
      <c r="GG951"/>
      <c r="GH951"/>
    </row>
    <row r="952" spans="187:190" s="1" customFormat="1" ht="18" customHeight="1" x14ac:dyDescent="0.2">
      <c r="GE952"/>
      <c r="GF952"/>
      <c r="GG952"/>
      <c r="GH952"/>
    </row>
    <row r="953" spans="187:190" s="1" customFormat="1" ht="18" customHeight="1" x14ac:dyDescent="0.2">
      <c r="GE953"/>
      <c r="GF953"/>
      <c r="GG953"/>
      <c r="GH953"/>
    </row>
    <row r="954" spans="187:190" s="1" customFormat="1" ht="18" customHeight="1" x14ac:dyDescent="0.2">
      <c r="GE954"/>
      <c r="GF954"/>
      <c r="GG954"/>
      <c r="GH954"/>
    </row>
    <row r="955" spans="187:190" s="1" customFormat="1" ht="18" customHeight="1" x14ac:dyDescent="0.2">
      <c r="GE955"/>
      <c r="GF955"/>
      <c r="GG955"/>
      <c r="GH955"/>
    </row>
    <row r="956" spans="187:190" s="1" customFormat="1" ht="18" customHeight="1" x14ac:dyDescent="0.2">
      <c r="GE956"/>
      <c r="GF956"/>
      <c r="GG956"/>
      <c r="GH956"/>
    </row>
    <row r="957" spans="187:190" s="1" customFormat="1" ht="18" customHeight="1" x14ac:dyDescent="0.2">
      <c r="GE957"/>
      <c r="GF957"/>
      <c r="GG957"/>
      <c r="GH957"/>
    </row>
    <row r="958" spans="187:190" s="1" customFormat="1" ht="18" customHeight="1" x14ac:dyDescent="0.2">
      <c r="GE958"/>
      <c r="GF958"/>
      <c r="GG958"/>
      <c r="GH958"/>
    </row>
    <row r="959" spans="187:190" s="1" customFormat="1" ht="18" customHeight="1" x14ac:dyDescent="0.2">
      <c r="GE959"/>
      <c r="GF959"/>
      <c r="GG959"/>
      <c r="GH959"/>
    </row>
    <row r="960" spans="187:190" s="1" customFormat="1" ht="18" customHeight="1" x14ac:dyDescent="0.2">
      <c r="GE960"/>
      <c r="GF960"/>
      <c r="GG960"/>
      <c r="GH960"/>
    </row>
    <row r="961" spans="187:190" s="1" customFormat="1" ht="18" customHeight="1" x14ac:dyDescent="0.2">
      <c r="GE961"/>
      <c r="GF961"/>
      <c r="GG961"/>
      <c r="GH961"/>
    </row>
    <row r="962" spans="187:190" s="1" customFormat="1" ht="18" customHeight="1" x14ac:dyDescent="0.2">
      <c r="GE962"/>
      <c r="GF962"/>
      <c r="GG962"/>
      <c r="GH962"/>
    </row>
    <row r="963" spans="187:190" s="1" customFormat="1" ht="18" customHeight="1" x14ac:dyDescent="0.2">
      <c r="GE963"/>
      <c r="GF963"/>
      <c r="GG963"/>
      <c r="GH963"/>
    </row>
    <row r="964" spans="187:190" s="1" customFormat="1" ht="18" customHeight="1" x14ac:dyDescent="0.2">
      <c r="GE964"/>
      <c r="GF964"/>
      <c r="GG964"/>
      <c r="GH964"/>
    </row>
    <row r="965" spans="187:190" s="1" customFormat="1" ht="18" customHeight="1" x14ac:dyDescent="0.2">
      <c r="GE965"/>
      <c r="GF965"/>
      <c r="GG965"/>
      <c r="GH965"/>
    </row>
    <row r="966" spans="187:190" s="1" customFormat="1" ht="18" customHeight="1" x14ac:dyDescent="0.2">
      <c r="GE966"/>
      <c r="GF966"/>
      <c r="GG966"/>
      <c r="GH966"/>
    </row>
    <row r="967" spans="187:190" s="1" customFormat="1" ht="18" customHeight="1" x14ac:dyDescent="0.2">
      <c r="GE967"/>
      <c r="GF967"/>
      <c r="GG967"/>
      <c r="GH967"/>
    </row>
    <row r="968" spans="187:190" s="1" customFormat="1" ht="18" customHeight="1" x14ac:dyDescent="0.2">
      <c r="GE968"/>
      <c r="GF968"/>
      <c r="GG968"/>
      <c r="GH968"/>
    </row>
    <row r="969" spans="187:190" s="1" customFormat="1" ht="18" customHeight="1" x14ac:dyDescent="0.2">
      <c r="GE969"/>
      <c r="GF969"/>
      <c r="GG969"/>
      <c r="GH969"/>
    </row>
    <row r="970" spans="187:190" s="1" customFormat="1" ht="18" customHeight="1" x14ac:dyDescent="0.2">
      <c r="GE970"/>
      <c r="GF970"/>
      <c r="GG970"/>
      <c r="GH970"/>
    </row>
    <row r="971" spans="187:190" s="1" customFormat="1" ht="18" customHeight="1" x14ac:dyDescent="0.2">
      <c r="GE971"/>
      <c r="GF971"/>
      <c r="GG971"/>
      <c r="GH971"/>
    </row>
    <row r="972" spans="187:190" s="1" customFormat="1" ht="18" customHeight="1" x14ac:dyDescent="0.2">
      <c r="GE972"/>
      <c r="GF972"/>
      <c r="GG972"/>
      <c r="GH972"/>
    </row>
    <row r="973" spans="187:190" s="1" customFormat="1" ht="18" customHeight="1" x14ac:dyDescent="0.2">
      <c r="GE973"/>
      <c r="GF973"/>
      <c r="GG973"/>
      <c r="GH973"/>
    </row>
    <row r="974" spans="187:190" s="1" customFormat="1" ht="18" customHeight="1" x14ac:dyDescent="0.2">
      <c r="GE974"/>
      <c r="GF974"/>
      <c r="GG974"/>
      <c r="GH974"/>
    </row>
    <row r="975" spans="187:190" s="1" customFormat="1" ht="18" customHeight="1" x14ac:dyDescent="0.2">
      <c r="GE975"/>
      <c r="GF975"/>
      <c r="GG975"/>
      <c r="GH975"/>
    </row>
    <row r="976" spans="187:190" s="1" customFormat="1" ht="18" customHeight="1" x14ac:dyDescent="0.2">
      <c r="GE976"/>
      <c r="GF976"/>
      <c r="GG976"/>
      <c r="GH976"/>
    </row>
    <row r="977" spans="187:190" s="1" customFormat="1" ht="18" customHeight="1" x14ac:dyDescent="0.2">
      <c r="GE977"/>
      <c r="GF977"/>
      <c r="GG977"/>
      <c r="GH977"/>
    </row>
    <row r="978" spans="187:190" s="1" customFormat="1" ht="18" customHeight="1" x14ac:dyDescent="0.2">
      <c r="GE978"/>
      <c r="GF978"/>
      <c r="GG978"/>
      <c r="GH978"/>
    </row>
    <row r="979" spans="187:190" s="1" customFormat="1" ht="18" customHeight="1" x14ac:dyDescent="0.2">
      <c r="GE979"/>
      <c r="GF979"/>
      <c r="GG979"/>
      <c r="GH979"/>
    </row>
    <row r="980" spans="187:190" s="1" customFormat="1" ht="18" customHeight="1" x14ac:dyDescent="0.2">
      <c r="GE980"/>
      <c r="GF980"/>
      <c r="GG980"/>
      <c r="GH980"/>
    </row>
    <row r="981" spans="187:190" s="1" customFormat="1" ht="18" customHeight="1" x14ac:dyDescent="0.2">
      <c r="GE981"/>
      <c r="GF981"/>
      <c r="GG981"/>
      <c r="GH981"/>
    </row>
    <row r="982" spans="187:190" s="1" customFormat="1" ht="18" customHeight="1" x14ac:dyDescent="0.2">
      <c r="GE982"/>
      <c r="GF982"/>
      <c r="GG982"/>
      <c r="GH982"/>
    </row>
    <row r="983" spans="187:190" s="1" customFormat="1" ht="18" customHeight="1" x14ac:dyDescent="0.2">
      <c r="GE983"/>
      <c r="GF983"/>
      <c r="GG983"/>
      <c r="GH983"/>
    </row>
    <row r="984" spans="187:190" s="1" customFormat="1" ht="18" customHeight="1" x14ac:dyDescent="0.2">
      <c r="GE984"/>
      <c r="GF984"/>
      <c r="GG984"/>
      <c r="GH984"/>
    </row>
    <row r="985" spans="187:190" s="1" customFormat="1" ht="18" customHeight="1" x14ac:dyDescent="0.2">
      <c r="GE985"/>
      <c r="GF985"/>
      <c r="GG985"/>
      <c r="GH985"/>
    </row>
    <row r="986" spans="187:190" s="1" customFormat="1" ht="18" customHeight="1" x14ac:dyDescent="0.2">
      <c r="GE986"/>
      <c r="GF986"/>
      <c r="GG986"/>
      <c r="GH986"/>
    </row>
    <row r="987" spans="187:190" s="1" customFormat="1" ht="18" customHeight="1" x14ac:dyDescent="0.2">
      <c r="GE987"/>
      <c r="GF987"/>
      <c r="GG987"/>
      <c r="GH987"/>
    </row>
    <row r="988" spans="187:190" s="1" customFormat="1" ht="18" customHeight="1" x14ac:dyDescent="0.2">
      <c r="GE988"/>
      <c r="GF988"/>
      <c r="GG988"/>
      <c r="GH988"/>
    </row>
    <row r="989" spans="187:190" s="1" customFormat="1" ht="18" customHeight="1" x14ac:dyDescent="0.2">
      <c r="GE989"/>
      <c r="GF989"/>
      <c r="GG989"/>
      <c r="GH989"/>
    </row>
    <row r="990" spans="187:190" s="1" customFormat="1" ht="18" customHeight="1" x14ac:dyDescent="0.2">
      <c r="GE990"/>
      <c r="GF990"/>
      <c r="GG990"/>
      <c r="GH990"/>
    </row>
    <row r="991" spans="187:190" s="1" customFormat="1" ht="18" customHeight="1" x14ac:dyDescent="0.2">
      <c r="GE991"/>
      <c r="GF991"/>
      <c r="GG991"/>
      <c r="GH991"/>
    </row>
    <row r="992" spans="187:190" s="1" customFormat="1" ht="18" customHeight="1" x14ac:dyDescent="0.2">
      <c r="GE992"/>
      <c r="GF992"/>
      <c r="GG992"/>
      <c r="GH992"/>
    </row>
    <row r="993" spans="187:190" s="1" customFormat="1" ht="18" customHeight="1" x14ac:dyDescent="0.2">
      <c r="GE993"/>
      <c r="GF993"/>
      <c r="GG993"/>
      <c r="GH993"/>
    </row>
    <row r="994" spans="187:190" s="1" customFormat="1" ht="18" customHeight="1" x14ac:dyDescent="0.2">
      <c r="GE994"/>
      <c r="GF994"/>
      <c r="GG994"/>
      <c r="GH994"/>
    </row>
    <row r="995" spans="187:190" s="1" customFormat="1" ht="18" customHeight="1" x14ac:dyDescent="0.2">
      <c r="GE995"/>
      <c r="GF995"/>
      <c r="GG995"/>
      <c r="GH995"/>
    </row>
    <row r="996" spans="187:190" s="1" customFormat="1" ht="18" customHeight="1" x14ac:dyDescent="0.2">
      <c r="GE996"/>
      <c r="GF996"/>
      <c r="GG996"/>
      <c r="GH996"/>
    </row>
    <row r="997" spans="187:190" s="1" customFormat="1" ht="18" customHeight="1" x14ac:dyDescent="0.2">
      <c r="GE997"/>
      <c r="GF997"/>
      <c r="GG997"/>
      <c r="GH997"/>
    </row>
    <row r="998" spans="187:190" s="1" customFormat="1" ht="18" customHeight="1" x14ac:dyDescent="0.2">
      <c r="GE998"/>
      <c r="GF998"/>
      <c r="GG998"/>
      <c r="GH998"/>
    </row>
    <row r="999" spans="187:190" s="1" customFormat="1" ht="18" customHeight="1" x14ac:dyDescent="0.2">
      <c r="GE999"/>
      <c r="GF999"/>
      <c r="GG999"/>
      <c r="GH999"/>
    </row>
    <row r="1000" spans="187:190" s="1" customFormat="1" ht="18" customHeight="1" x14ac:dyDescent="0.2">
      <c r="GE1000"/>
      <c r="GF1000"/>
      <c r="GG1000"/>
      <c r="GH1000"/>
    </row>
    <row r="1001" spans="187:190" s="1" customFormat="1" ht="18" customHeight="1" x14ac:dyDescent="0.2">
      <c r="GE1001"/>
      <c r="GF1001"/>
      <c r="GG1001"/>
      <c r="GH1001"/>
    </row>
    <row r="1002" spans="187:190" s="1" customFormat="1" ht="18" customHeight="1" x14ac:dyDescent="0.2">
      <c r="GE1002"/>
      <c r="GF1002"/>
      <c r="GG1002"/>
      <c r="GH1002"/>
    </row>
    <row r="1003" spans="187:190" s="1" customFormat="1" ht="18" customHeight="1" x14ac:dyDescent="0.2">
      <c r="GE1003"/>
      <c r="GF1003"/>
      <c r="GG1003"/>
      <c r="GH1003"/>
    </row>
    <row r="1004" spans="187:190" s="1" customFormat="1" ht="18" customHeight="1" x14ac:dyDescent="0.2">
      <c r="GE1004"/>
      <c r="GF1004"/>
      <c r="GG1004"/>
      <c r="GH1004"/>
    </row>
    <row r="1005" spans="187:190" s="1" customFormat="1" ht="18" customHeight="1" x14ac:dyDescent="0.2">
      <c r="GE1005"/>
      <c r="GF1005"/>
      <c r="GG1005"/>
      <c r="GH1005"/>
    </row>
    <row r="1006" spans="187:190" s="1" customFormat="1" ht="18" customHeight="1" x14ac:dyDescent="0.2">
      <c r="GE1006"/>
      <c r="GF1006"/>
      <c r="GG1006"/>
      <c r="GH1006"/>
    </row>
    <row r="1007" spans="187:190" s="1" customFormat="1" ht="18" customHeight="1" x14ac:dyDescent="0.2">
      <c r="GE1007"/>
      <c r="GF1007"/>
      <c r="GG1007"/>
      <c r="GH1007"/>
    </row>
    <row r="1008" spans="187:190" s="1" customFormat="1" ht="18" customHeight="1" x14ac:dyDescent="0.2">
      <c r="GE1008"/>
      <c r="GF1008"/>
      <c r="GG1008"/>
      <c r="GH1008"/>
    </row>
    <row r="1009" spans="187:190" s="1" customFormat="1" ht="18" customHeight="1" x14ac:dyDescent="0.2">
      <c r="GE1009"/>
      <c r="GF1009"/>
      <c r="GG1009"/>
      <c r="GH1009"/>
    </row>
    <row r="1010" spans="187:190" s="1" customFormat="1" ht="18" customHeight="1" x14ac:dyDescent="0.2">
      <c r="GE1010"/>
      <c r="GF1010"/>
      <c r="GG1010"/>
      <c r="GH1010"/>
    </row>
    <row r="1011" spans="187:190" s="1" customFormat="1" ht="18" customHeight="1" x14ac:dyDescent="0.2">
      <c r="GE1011"/>
      <c r="GF1011"/>
      <c r="GG1011"/>
      <c r="GH1011"/>
    </row>
    <row r="1012" spans="187:190" s="1" customFormat="1" ht="18" customHeight="1" x14ac:dyDescent="0.2">
      <c r="GE1012"/>
      <c r="GF1012"/>
      <c r="GG1012"/>
      <c r="GH1012"/>
    </row>
    <row r="1013" spans="187:190" s="1" customFormat="1" ht="18" customHeight="1" x14ac:dyDescent="0.2">
      <c r="GE1013"/>
      <c r="GF1013"/>
      <c r="GG1013"/>
      <c r="GH1013"/>
    </row>
    <row r="1014" spans="187:190" s="1" customFormat="1" ht="18" customHeight="1" x14ac:dyDescent="0.2">
      <c r="GE1014"/>
      <c r="GF1014"/>
      <c r="GG1014"/>
      <c r="GH1014"/>
    </row>
    <row r="1015" spans="187:190" s="1" customFormat="1" ht="18" customHeight="1" x14ac:dyDescent="0.2">
      <c r="GE1015"/>
      <c r="GF1015"/>
      <c r="GG1015"/>
      <c r="GH1015"/>
    </row>
    <row r="1016" spans="187:190" s="1" customFormat="1" ht="18" customHeight="1" x14ac:dyDescent="0.2">
      <c r="GE1016"/>
      <c r="GF1016"/>
      <c r="GG1016"/>
      <c r="GH1016"/>
    </row>
    <row r="1017" spans="187:190" s="1" customFormat="1" ht="18" customHeight="1" x14ac:dyDescent="0.2">
      <c r="GE1017"/>
      <c r="GF1017"/>
      <c r="GG1017"/>
      <c r="GH1017"/>
    </row>
    <row r="1018" spans="187:190" s="1" customFormat="1" ht="18" customHeight="1" x14ac:dyDescent="0.2">
      <c r="GE1018"/>
      <c r="GF1018"/>
      <c r="GG1018"/>
      <c r="GH1018"/>
    </row>
    <row r="1019" spans="187:190" s="1" customFormat="1" ht="18" customHeight="1" x14ac:dyDescent="0.2">
      <c r="GE1019"/>
      <c r="GF1019"/>
      <c r="GG1019"/>
      <c r="GH1019"/>
    </row>
    <row r="1020" spans="187:190" s="1" customFormat="1" ht="18" customHeight="1" x14ac:dyDescent="0.2">
      <c r="GE1020"/>
      <c r="GF1020"/>
      <c r="GG1020"/>
      <c r="GH1020"/>
    </row>
    <row r="1021" spans="187:190" s="1" customFormat="1" ht="18" customHeight="1" x14ac:dyDescent="0.2">
      <c r="GE1021"/>
      <c r="GF1021"/>
      <c r="GG1021"/>
      <c r="GH1021"/>
    </row>
    <row r="1022" spans="187:190" s="1" customFormat="1" ht="18" customHeight="1" x14ac:dyDescent="0.2">
      <c r="GE1022"/>
      <c r="GF1022"/>
      <c r="GG1022"/>
      <c r="GH1022"/>
    </row>
    <row r="1023" spans="187:190" s="1" customFormat="1" ht="18" customHeight="1" x14ac:dyDescent="0.2">
      <c r="GE1023"/>
      <c r="GF1023"/>
      <c r="GG1023"/>
      <c r="GH1023"/>
    </row>
    <row r="1024" spans="187:190" s="1" customFormat="1" ht="18" customHeight="1" x14ac:dyDescent="0.2">
      <c r="GE1024"/>
      <c r="GF1024"/>
      <c r="GG1024"/>
      <c r="GH1024"/>
    </row>
    <row r="1025" spans="187:190" s="1" customFormat="1" ht="18" customHeight="1" x14ac:dyDescent="0.2">
      <c r="GE1025"/>
      <c r="GF1025"/>
      <c r="GG1025"/>
      <c r="GH1025"/>
    </row>
    <row r="1026" spans="187:190" s="1" customFormat="1" ht="18" customHeight="1" x14ac:dyDescent="0.2">
      <c r="GE1026"/>
      <c r="GF1026"/>
      <c r="GG1026"/>
      <c r="GH1026"/>
    </row>
    <row r="1027" spans="187:190" s="1" customFormat="1" ht="18" customHeight="1" x14ac:dyDescent="0.2">
      <c r="GE1027"/>
      <c r="GF1027"/>
      <c r="GG1027"/>
      <c r="GH1027"/>
    </row>
    <row r="1028" spans="187:190" s="1" customFormat="1" ht="18" customHeight="1" x14ac:dyDescent="0.2">
      <c r="GE1028"/>
      <c r="GF1028"/>
      <c r="GG1028"/>
      <c r="GH1028"/>
    </row>
    <row r="1029" spans="187:190" s="1" customFormat="1" ht="18" customHeight="1" x14ac:dyDescent="0.2">
      <c r="GE1029"/>
      <c r="GF1029"/>
      <c r="GG1029"/>
      <c r="GH1029"/>
    </row>
    <row r="1030" spans="187:190" s="1" customFormat="1" ht="18" customHeight="1" x14ac:dyDescent="0.2">
      <c r="GE1030"/>
      <c r="GF1030"/>
      <c r="GG1030"/>
      <c r="GH1030"/>
    </row>
    <row r="1031" spans="187:190" s="1" customFormat="1" ht="18" customHeight="1" x14ac:dyDescent="0.2">
      <c r="GE1031"/>
      <c r="GF1031"/>
      <c r="GG1031"/>
      <c r="GH1031"/>
    </row>
    <row r="1032" spans="187:190" s="1" customFormat="1" ht="18" customHeight="1" x14ac:dyDescent="0.2">
      <c r="GE1032"/>
      <c r="GF1032"/>
      <c r="GG1032"/>
      <c r="GH1032"/>
    </row>
    <row r="1033" spans="187:190" s="1" customFormat="1" ht="18" customHeight="1" x14ac:dyDescent="0.2">
      <c r="GE1033"/>
      <c r="GF1033"/>
      <c r="GG1033"/>
      <c r="GH1033"/>
    </row>
    <row r="1034" spans="187:190" s="1" customFormat="1" ht="18" customHeight="1" x14ac:dyDescent="0.2">
      <c r="GE1034"/>
      <c r="GF1034"/>
      <c r="GG1034"/>
      <c r="GH1034"/>
    </row>
    <row r="1035" spans="187:190" s="1" customFormat="1" ht="18" customHeight="1" x14ac:dyDescent="0.2">
      <c r="GE1035"/>
      <c r="GF1035"/>
      <c r="GG1035"/>
      <c r="GH1035"/>
    </row>
    <row r="1036" spans="187:190" s="1" customFormat="1" ht="18" customHeight="1" x14ac:dyDescent="0.2">
      <c r="GE1036"/>
      <c r="GF1036"/>
      <c r="GG1036"/>
      <c r="GH1036"/>
    </row>
    <row r="1037" spans="187:190" s="1" customFormat="1" ht="18" customHeight="1" x14ac:dyDescent="0.2">
      <c r="GE1037"/>
      <c r="GF1037"/>
      <c r="GG1037"/>
      <c r="GH1037"/>
    </row>
    <row r="1038" spans="187:190" s="1" customFormat="1" ht="18" customHeight="1" x14ac:dyDescent="0.2">
      <c r="GE1038"/>
      <c r="GF1038"/>
      <c r="GG1038"/>
      <c r="GH1038"/>
    </row>
    <row r="1039" spans="187:190" s="1" customFormat="1" ht="18" customHeight="1" x14ac:dyDescent="0.2">
      <c r="GE1039"/>
      <c r="GF1039"/>
      <c r="GG1039"/>
      <c r="GH1039"/>
    </row>
    <row r="1040" spans="187:190" s="1" customFormat="1" ht="18" customHeight="1" x14ac:dyDescent="0.2">
      <c r="GE1040"/>
      <c r="GF1040"/>
      <c r="GG1040"/>
      <c r="GH1040"/>
    </row>
    <row r="1041" spans="187:190" s="1" customFormat="1" ht="18" customHeight="1" x14ac:dyDescent="0.2">
      <c r="GE1041"/>
      <c r="GF1041"/>
      <c r="GG1041"/>
      <c r="GH1041"/>
    </row>
    <row r="1042" spans="187:190" s="1" customFormat="1" ht="18" customHeight="1" x14ac:dyDescent="0.2">
      <c r="GE1042"/>
      <c r="GF1042"/>
      <c r="GG1042"/>
      <c r="GH1042"/>
    </row>
    <row r="1043" spans="187:190" s="1" customFormat="1" ht="18" customHeight="1" x14ac:dyDescent="0.2">
      <c r="GE1043"/>
      <c r="GF1043"/>
      <c r="GG1043"/>
      <c r="GH1043"/>
    </row>
    <row r="1044" spans="187:190" s="1" customFormat="1" ht="18" customHeight="1" x14ac:dyDescent="0.2">
      <c r="GE1044"/>
      <c r="GF1044"/>
      <c r="GG1044"/>
      <c r="GH1044"/>
    </row>
    <row r="1045" spans="187:190" s="1" customFormat="1" ht="18" customHeight="1" x14ac:dyDescent="0.2">
      <c r="GE1045"/>
      <c r="GF1045"/>
      <c r="GG1045"/>
      <c r="GH1045"/>
    </row>
    <row r="1046" spans="187:190" s="1" customFormat="1" ht="18" customHeight="1" x14ac:dyDescent="0.2">
      <c r="GE1046"/>
      <c r="GF1046"/>
      <c r="GG1046"/>
      <c r="GH1046"/>
    </row>
    <row r="1047" spans="187:190" s="1" customFormat="1" ht="18" customHeight="1" x14ac:dyDescent="0.2">
      <c r="GE1047"/>
      <c r="GF1047"/>
      <c r="GG1047"/>
      <c r="GH1047"/>
    </row>
    <row r="1048" spans="187:190" s="1" customFormat="1" ht="18" customHeight="1" x14ac:dyDescent="0.2">
      <c r="GE1048"/>
      <c r="GF1048"/>
      <c r="GG1048"/>
      <c r="GH1048"/>
    </row>
    <row r="1049" spans="187:190" s="1" customFormat="1" ht="18" customHeight="1" x14ac:dyDescent="0.2">
      <c r="GE1049"/>
      <c r="GF1049"/>
      <c r="GG1049"/>
      <c r="GH1049"/>
    </row>
    <row r="1050" spans="187:190" s="1" customFormat="1" ht="18" customHeight="1" x14ac:dyDescent="0.2">
      <c r="GE1050"/>
      <c r="GF1050"/>
      <c r="GG1050"/>
      <c r="GH1050"/>
    </row>
    <row r="1051" spans="187:190" s="1" customFormat="1" ht="18" customHeight="1" x14ac:dyDescent="0.2">
      <c r="GE1051"/>
      <c r="GF1051"/>
      <c r="GG1051"/>
      <c r="GH1051"/>
    </row>
    <row r="1052" spans="187:190" s="1" customFormat="1" ht="18" customHeight="1" x14ac:dyDescent="0.2">
      <c r="GE1052"/>
      <c r="GF1052"/>
      <c r="GG1052"/>
      <c r="GH1052"/>
    </row>
    <row r="1053" spans="187:190" s="1" customFormat="1" ht="18" customHeight="1" x14ac:dyDescent="0.2">
      <c r="GE1053"/>
      <c r="GF1053"/>
      <c r="GG1053"/>
      <c r="GH1053"/>
    </row>
    <row r="1054" spans="187:190" s="1" customFormat="1" ht="18" customHeight="1" x14ac:dyDescent="0.2">
      <c r="GE1054"/>
      <c r="GF1054"/>
      <c r="GG1054"/>
      <c r="GH1054"/>
    </row>
    <row r="1055" spans="187:190" s="1" customFormat="1" ht="18" customHeight="1" x14ac:dyDescent="0.2">
      <c r="GE1055"/>
      <c r="GF1055"/>
      <c r="GG1055"/>
      <c r="GH1055"/>
    </row>
    <row r="1056" spans="187:190" s="1" customFormat="1" ht="18" customHeight="1" x14ac:dyDescent="0.2">
      <c r="GE1056"/>
      <c r="GF1056"/>
      <c r="GG1056"/>
      <c r="GH1056"/>
    </row>
    <row r="1057" spans="187:190" s="1" customFormat="1" ht="18" customHeight="1" x14ac:dyDescent="0.2">
      <c r="GE1057"/>
      <c r="GF1057"/>
      <c r="GG1057"/>
      <c r="GH1057"/>
    </row>
    <row r="1058" spans="187:190" s="1" customFormat="1" ht="18" customHeight="1" x14ac:dyDescent="0.2">
      <c r="GE1058"/>
      <c r="GF1058"/>
      <c r="GG1058"/>
      <c r="GH1058"/>
    </row>
    <row r="1059" spans="187:190" s="1" customFormat="1" ht="18" customHeight="1" x14ac:dyDescent="0.2">
      <c r="GE1059"/>
      <c r="GF1059"/>
      <c r="GG1059"/>
      <c r="GH1059"/>
    </row>
    <row r="1060" spans="187:190" s="1" customFormat="1" ht="18" customHeight="1" x14ac:dyDescent="0.2">
      <c r="GE1060"/>
      <c r="GF1060"/>
      <c r="GG1060"/>
      <c r="GH1060"/>
    </row>
    <row r="1061" spans="187:190" s="1" customFormat="1" ht="18" customHeight="1" x14ac:dyDescent="0.2">
      <c r="GE1061"/>
      <c r="GF1061"/>
      <c r="GG1061"/>
      <c r="GH1061"/>
    </row>
    <row r="1062" spans="187:190" s="1" customFormat="1" ht="18" customHeight="1" x14ac:dyDescent="0.2">
      <c r="GE1062"/>
      <c r="GF1062"/>
      <c r="GG1062"/>
      <c r="GH1062"/>
    </row>
    <row r="1063" spans="187:190" s="1" customFormat="1" ht="18" customHeight="1" x14ac:dyDescent="0.2">
      <c r="GE1063"/>
      <c r="GF1063"/>
      <c r="GG1063"/>
      <c r="GH1063"/>
    </row>
    <row r="1064" spans="187:190" s="1" customFormat="1" ht="18" customHeight="1" x14ac:dyDescent="0.2">
      <c r="GE1064"/>
      <c r="GF1064"/>
      <c r="GG1064"/>
      <c r="GH1064"/>
    </row>
    <row r="1065" spans="187:190" s="1" customFormat="1" ht="18" customHeight="1" x14ac:dyDescent="0.2">
      <c r="GE1065"/>
      <c r="GF1065"/>
      <c r="GG1065"/>
      <c r="GH1065"/>
    </row>
    <row r="1066" spans="187:190" s="1" customFormat="1" ht="18" customHeight="1" x14ac:dyDescent="0.2">
      <c r="GE1066"/>
      <c r="GF1066"/>
      <c r="GG1066"/>
      <c r="GH1066"/>
    </row>
    <row r="1067" spans="187:190" s="1" customFormat="1" ht="18" customHeight="1" x14ac:dyDescent="0.2">
      <c r="GE1067"/>
      <c r="GF1067"/>
      <c r="GG1067"/>
      <c r="GH1067"/>
    </row>
    <row r="1068" spans="187:190" s="1" customFormat="1" ht="18" customHeight="1" x14ac:dyDescent="0.2">
      <c r="GE1068"/>
      <c r="GF1068"/>
      <c r="GG1068"/>
      <c r="GH1068"/>
    </row>
    <row r="1069" spans="187:190" s="1" customFormat="1" ht="18" customHeight="1" x14ac:dyDescent="0.2">
      <c r="GE1069"/>
      <c r="GF1069"/>
      <c r="GG1069"/>
      <c r="GH1069"/>
    </row>
    <row r="1070" spans="187:190" s="1" customFormat="1" ht="18" customHeight="1" x14ac:dyDescent="0.2">
      <c r="GE1070"/>
      <c r="GF1070"/>
      <c r="GG1070"/>
      <c r="GH1070"/>
    </row>
    <row r="1071" spans="187:190" s="1" customFormat="1" ht="18" customHeight="1" x14ac:dyDescent="0.2">
      <c r="GE1071"/>
      <c r="GF1071"/>
      <c r="GG1071"/>
      <c r="GH1071"/>
    </row>
    <row r="1072" spans="187:190" s="1" customFormat="1" ht="18" customHeight="1" x14ac:dyDescent="0.2">
      <c r="GE1072"/>
      <c r="GF1072"/>
      <c r="GG1072"/>
      <c r="GH1072"/>
    </row>
    <row r="1073" spans="187:190" s="1" customFormat="1" ht="18" customHeight="1" x14ac:dyDescent="0.2">
      <c r="GE1073"/>
      <c r="GF1073"/>
      <c r="GG1073"/>
      <c r="GH1073"/>
    </row>
    <row r="1074" spans="187:190" s="1" customFormat="1" ht="18" customHeight="1" x14ac:dyDescent="0.2">
      <c r="GE1074"/>
      <c r="GF1074"/>
      <c r="GG1074"/>
      <c r="GH1074"/>
    </row>
    <row r="1075" spans="187:190" s="1" customFormat="1" ht="18" customHeight="1" x14ac:dyDescent="0.2">
      <c r="GE1075"/>
      <c r="GF1075"/>
      <c r="GG1075"/>
      <c r="GH1075"/>
    </row>
    <row r="1076" spans="187:190" s="1" customFormat="1" ht="18" customHeight="1" x14ac:dyDescent="0.2">
      <c r="GE1076"/>
      <c r="GF1076"/>
      <c r="GG1076"/>
      <c r="GH1076"/>
    </row>
    <row r="1077" spans="187:190" s="1" customFormat="1" ht="18" customHeight="1" x14ac:dyDescent="0.2">
      <c r="GE1077"/>
      <c r="GF1077"/>
      <c r="GG1077"/>
      <c r="GH1077"/>
    </row>
    <row r="1078" spans="187:190" s="1" customFormat="1" ht="18" customHeight="1" x14ac:dyDescent="0.2">
      <c r="GE1078"/>
      <c r="GF1078"/>
      <c r="GG1078"/>
      <c r="GH1078"/>
    </row>
    <row r="1079" spans="187:190" s="1" customFormat="1" ht="18" customHeight="1" x14ac:dyDescent="0.2">
      <c r="GE1079"/>
      <c r="GF1079"/>
      <c r="GG1079"/>
      <c r="GH1079"/>
    </row>
    <row r="1080" spans="187:190" s="1" customFormat="1" ht="18" customHeight="1" x14ac:dyDescent="0.2">
      <c r="GE1080"/>
      <c r="GF1080"/>
      <c r="GG1080"/>
      <c r="GH1080"/>
    </row>
    <row r="1081" spans="187:190" s="1" customFormat="1" ht="18" customHeight="1" x14ac:dyDescent="0.2">
      <c r="GE1081"/>
      <c r="GF1081"/>
      <c r="GG1081"/>
      <c r="GH1081"/>
    </row>
    <row r="1082" spans="187:190" s="1" customFormat="1" ht="18" customHeight="1" x14ac:dyDescent="0.2">
      <c r="GE1082"/>
      <c r="GF1082"/>
      <c r="GG1082"/>
      <c r="GH1082"/>
    </row>
    <row r="1083" spans="187:190" s="1" customFormat="1" ht="18" customHeight="1" x14ac:dyDescent="0.2">
      <c r="GE1083"/>
      <c r="GF1083"/>
      <c r="GG1083"/>
      <c r="GH1083"/>
    </row>
    <row r="1084" spans="187:190" s="1" customFormat="1" ht="18" customHeight="1" x14ac:dyDescent="0.2">
      <c r="GE1084"/>
      <c r="GF1084"/>
      <c r="GG1084"/>
      <c r="GH1084"/>
    </row>
    <row r="1085" spans="187:190" s="1" customFormat="1" ht="18" customHeight="1" x14ac:dyDescent="0.2">
      <c r="GE1085"/>
      <c r="GF1085"/>
      <c r="GG1085"/>
      <c r="GH1085"/>
    </row>
    <row r="1086" spans="187:190" s="1" customFormat="1" ht="18" customHeight="1" x14ac:dyDescent="0.2">
      <c r="GE1086"/>
      <c r="GF1086"/>
      <c r="GG1086"/>
      <c r="GH1086"/>
    </row>
    <row r="1087" spans="187:190" s="1" customFormat="1" ht="18" customHeight="1" x14ac:dyDescent="0.2">
      <c r="GE1087"/>
      <c r="GF1087"/>
      <c r="GG1087"/>
      <c r="GH1087"/>
    </row>
    <row r="1088" spans="187:190" s="1" customFormat="1" ht="18" customHeight="1" x14ac:dyDescent="0.2">
      <c r="GE1088"/>
      <c r="GF1088"/>
      <c r="GG1088"/>
      <c r="GH1088"/>
    </row>
    <row r="1089" spans="187:190" s="1" customFormat="1" ht="18" customHeight="1" x14ac:dyDescent="0.2">
      <c r="GE1089"/>
      <c r="GF1089"/>
      <c r="GG1089"/>
      <c r="GH1089"/>
    </row>
    <row r="1090" spans="187:190" s="1" customFormat="1" ht="18" customHeight="1" x14ac:dyDescent="0.2">
      <c r="GE1090"/>
      <c r="GF1090"/>
      <c r="GG1090"/>
      <c r="GH1090"/>
    </row>
    <row r="1091" spans="187:190" s="1" customFormat="1" ht="18" customHeight="1" x14ac:dyDescent="0.2">
      <c r="GE1091"/>
      <c r="GF1091"/>
      <c r="GG1091"/>
      <c r="GH1091"/>
    </row>
    <row r="1092" spans="187:190" s="1" customFormat="1" ht="18" customHeight="1" x14ac:dyDescent="0.2">
      <c r="GE1092"/>
      <c r="GF1092"/>
      <c r="GG1092"/>
      <c r="GH1092"/>
    </row>
    <row r="1093" spans="187:190" s="1" customFormat="1" ht="18" customHeight="1" x14ac:dyDescent="0.2">
      <c r="GE1093"/>
      <c r="GF1093"/>
      <c r="GG1093"/>
      <c r="GH1093"/>
    </row>
    <row r="1094" spans="187:190" s="1" customFormat="1" ht="18" customHeight="1" x14ac:dyDescent="0.2">
      <c r="GE1094"/>
      <c r="GF1094"/>
      <c r="GG1094"/>
      <c r="GH1094"/>
    </row>
    <row r="1095" spans="187:190" s="1" customFormat="1" ht="18" customHeight="1" x14ac:dyDescent="0.2">
      <c r="GE1095"/>
      <c r="GF1095"/>
      <c r="GG1095"/>
      <c r="GH1095"/>
    </row>
    <row r="1096" spans="187:190" s="1" customFormat="1" ht="18" customHeight="1" x14ac:dyDescent="0.2">
      <c r="GE1096"/>
      <c r="GF1096"/>
      <c r="GG1096"/>
      <c r="GH1096"/>
    </row>
    <row r="1097" spans="187:190" s="1" customFormat="1" ht="18" customHeight="1" x14ac:dyDescent="0.2">
      <c r="GE1097"/>
      <c r="GF1097"/>
      <c r="GG1097"/>
      <c r="GH1097"/>
    </row>
    <row r="1098" spans="187:190" s="1" customFormat="1" ht="18" customHeight="1" x14ac:dyDescent="0.2">
      <c r="GE1098"/>
      <c r="GF1098"/>
      <c r="GG1098"/>
      <c r="GH1098"/>
    </row>
    <row r="1099" spans="187:190" s="1" customFormat="1" ht="18" customHeight="1" x14ac:dyDescent="0.2">
      <c r="GE1099"/>
      <c r="GF1099"/>
      <c r="GG1099"/>
      <c r="GH1099"/>
    </row>
    <row r="1100" spans="187:190" s="1" customFormat="1" ht="18" customHeight="1" x14ac:dyDescent="0.2">
      <c r="GE1100"/>
      <c r="GF1100"/>
      <c r="GG1100"/>
      <c r="GH1100"/>
    </row>
    <row r="1101" spans="187:190" s="1" customFormat="1" ht="18" customHeight="1" x14ac:dyDescent="0.2">
      <c r="GE1101"/>
      <c r="GF1101"/>
      <c r="GG1101"/>
      <c r="GH1101"/>
    </row>
    <row r="1102" spans="187:190" s="1" customFormat="1" ht="18" customHeight="1" x14ac:dyDescent="0.2">
      <c r="GE1102"/>
      <c r="GF1102"/>
      <c r="GG1102"/>
      <c r="GH1102"/>
    </row>
    <row r="1103" spans="187:190" s="1" customFormat="1" ht="18" customHeight="1" x14ac:dyDescent="0.2">
      <c r="GE1103"/>
      <c r="GF1103"/>
      <c r="GG1103"/>
      <c r="GH1103"/>
    </row>
    <row r="1104" spans="187:190" s="1" customFormat="1" ht="18" customHeight="1" x14ac:dyDescent="0.2">
      <c r="GE1104"/>
      <c r="GF1104"/>
      <c r="GG1104"/>
      <c r="GH1104"/>
    </row>
    <row r="1105" spans="187:190" s="1" customFormat="1" ht="18" customHeight="1" x14ac:dyDescent="0.2">
      <c r="GE1105"/>
      <c r="GF1105"/>
      <c r="GG1105"/>
      <c r="GH1105"/>
    </row>
    <row r="1106" spans="187:190" s="1" customFormat="1" ht="18" customHeight="1" x14ac:dyDescent="0.2">
      <c r="GE1106"/>
      <c r="GF1106"/>
      <c r="GG1106"/>
      <c r="GH1106"/>
    </row>
    <row r="1107" spans="187:190" s="1" customFormat="1" ht="18" customHeight="1" x14ac:dyDescent="0.2">
      <c r="GE1107"/>
      <c r="GF1107"/>
      <c r="GG1107"/>
      <c r="GH1107"/>
    </row>
    <row r="1108" spans="187:190" s="1" customFormat="1" ht="18" customHeight="1" x14ac:dyDescent="0.2">
      <c r="GE1108"/>
      <c r="GF1108"/>
      <c r="GG1108"/>
      <c r="GH1108"/>
    </row>
    <row r="1109" spans="187:190" s="1" customFormat="1" ht="18" customHeight="1" x14ac:dyDescent="0.2">
      <c r="GE1109"/>
      <c r="GF1109"/>
      <c r="GG1109"/>
      <c r="GH1109"/>
    </row>
    <row r="1110" spans="187:190" s="1" customFormat="1" ht="18" customHeight="1" x14ac:dyDescent="0.2">
      <c r="GE1110"/>
      <c r="GF1110"/>
      <c r="GG1110"/>
      <c r="GH1110"/>
    </row>
    <row r="1111" spans="187:190" s="1" customFormat="1" ht="18" customHeight="1" x14ac:dyDescent="0.2">
      <c r="GE1111"/>
      <c r="GF1111"/>
      <c r="GG1111"/>
      <c r="GH1111"/>
    </row>
    <row r="1112" spans="187:190" s="1" customFormat="1" ht="18" customHeight="1" x14ac:dyDescent="0.2">
      <c r="GE1112"/>
      <c r="GF1112"/>
      <c r="GG1112"/>
      <c r="GH1112"/>
    </row>
    <row r="1113" spans="187:190" s="1" customFormat="1" ht="18" customHeight="1" x14ac:dyDescent="0.2">
      <c r="GE1113"/>
      <c r="GF1113"/>
      <c r="GG1113"/>
      <c r="GH1113"/>
    </row>
    <row r="1114" spans="187:190" s="1" customFormat="1" ht="18" customHeight="1" x14ac:dyDescent="0.2">
      <c r="GE1114"/>
      <c r="GF1114"/>
      <c r="GG1114"/>
      <c r="GH1114"/>
    </row>
    <row r="1115" spans="187:190" s="1" customFormat="1" ht="18" customHeight="1" x14ac:dyDescent="0.2">
      <c r="GE1115"/>
      <c r="GF1115"/>
      <c r="GG1115"/>
      <c r="GH1115"/>
    </row>
    <row r="1116" spans="187:190" s="1" customFormat="1" ht="18" customHeight="1" x14ac:dyDescent="0.2">
      <c r="GE1116"/>
      <c r="GF1116"/>
      <c r="GG1116"/>
      <c r="GH1116"/>
    </row>
    <row r="1117" spans="187:190" s="1" customFormat="1" ht="18" customHeight="1" x14ac:dyDescent="0.2">
      <c r="GE1117"/>
      <c r="GF1117"/>
      <c r="GG1117"/>
      <c r="GH1117"/>
    </row>
    <row r="1118" spans="187:190" s="1" customFormat="1" ht="18" customHeight="1" x14ac:dyDescent="0.2">
      <c r="GE1118"/>
      <c r="GF1118"/>
      <c r="GG1118"/>
      <c r="GH1118"/>
    </row>
    <row r="1119" spans="187:190" s="1" customFormat="1" ht="18" customHeight="1" x14ac:dyDescent="0.2">
      <c r="GE1119"/>
      <c r="GF1119"/>
      <c r="GG1119"/>
      <c r="GH1119"/>
    </row>
    <row r="1120" spans="187:190" s="1" customFormat="1" ht="18" customHeight="1" x14ac:dyDescent="0.2">
      <c r="GE1120"/>
      <c r="GF1120"/>
      <c r="GG1120"/>
      <c r="GH1120"/>
    </row>
    <row r="1121" spans="187:190" s="1" customFormat="1" ht="18" customHeight="1" x14ac:dyDescent="0.2">
      <c r="GE1121"/>
      <c r="GF1121"/>
      <c r="GG1121"/>
      <c r="GH1121"/>
    </row>
    <row r="1122" spans="187:190" s="1" customFormat="1" ht="18" customHeight="1" x14ac:dyDescent="0.2">
      <c r="GE1122"/>
      <c r="GF1122"/>
      <c r="GG1122"/>
      <c r="GH1122"/>
    </row>
    <row r="1123" spans="187:190" s="1" customFormat="1" ht="18" customHeight="1" x14ac:dyDescent="0.2">
      <c r="GE1123"/>
      <c r="GF1123"/>
      <c r="GG1123"/>
      <c r="GH1123"/>
    </row>
    <row r="1124" spans="187:190" s="1" customFormat="1" ht="18" customHeight="1" x14ac:dyDescent="0.2">
      <c r="GE1124"/>
      <c r="GF1124"/>
      <c r="GG1124"/>
      <c r="GH1124"/>
    </row>
    <row r="1125" spans="187:190" s="1" customFormat="1" ht="18" customHeight="1" x14ac:dyDescent="0.2">
      <c r="GE1125"/>
      <c r="GF1125"/>
      <c r="GG1125"/>
      <c r="GH1125"/>
    </row>
    <row r="1126" spans="187:190" s="1" customFormat="1" ht="18" customHeight="1" x14ac:dyDescent="0.2">
      <c r="GE1126"/>
      <c r="GF1126"/>
      <c r="GG1126"/>
      <c r="GH1126"/>
    </row>
    <row r="1127" spans="187:190" s="1" customFormat="1" ht="18" customHeight="1" x14ac:dyDescent="0.2">
      <c r="GE1127"/>
      <c r="GF1127"/>
      <c r="GG1127"/>
      <c r="GH1127"/>
    </row>
    <row r="1128" spans="187:190" s="1" customFormat="1" ht="18" customHeight="1" x14ac:dyDescent="0.2">
      <c r="GE1128"/>
      <c r="GF1128"/>
      <c r="GG1128"/>
      <c r="GH1128"/>
    </row>
    <row r="1129" spans="187:190" s="1" customFormat="1" ht="18" customHeight="1" x14ac:dyDescent="0.2">
      <c r="GE1129"/>
      <c r="GF1129"/>
      <c r="GG1129"/>
      <c r="GH1129"/>
    </row>
    <row r="1130" spans="187:190" s="1" customFormat="1" ht="18" customHeight="1" x14ac:dyDescent="0.2">
      <c r="GE1130"/>
      <c r="GF1130"/>
      <c r="GG1130"/>
      <c r="GH1130"/>
    </row>
    <row r="1131" spans="187:190" s="1" customFormat="1" ht="18" customHeight="1" x14ac:dyDescent="0.2">
      <c r="GE1131"/>
      <c r="GF1131"/>
      <c r="GG1131"/>
      <c r="GH1131"/>
    </row>
    <row r="1132" spans="187:190" s="1" customFormat="1" ht="18" customHeight="1" x14ac:dyDescent="0.2">
      <c r="GE1132"/>
      <c r="GF1132"/>
      <c r="GG1132"/>
      <c r="GH1132"/>
    </row>
    <row r="1133" spans="187:190" s="1" customFormat="1" ht="18" customHeight="1" x14ac:dyDescent="0.2">
      <c r="GE1133"/>
      <c r="GF1133"/>
      <c r="GG1133"/>
      <c r="GH1133"/>
    </row>
    <row r="1134" spans="187:190" s="1" customFormat="1" ht="18" customHeight="1" x14ac:dyDescent="0.2">
      <c r="GE1134"/>
      <c r="GF1134"/>
      <c r="GG1134"/>
      <c r="GH1134"/>
    </row>
    <row r="1135" spans="187:190" s="1" customFormat="1" ht="18" customHeight="1" x14ac:dyDescent="0.2">
      <c r="GE1135"/>
      <c r="GF1135"/>
      <c r="GG1135"/>
      <c r="GH1135"/>
    </row>
    <row r="1136" spans="187:190" s="1" customFormat="1" ht="18" customHeight="1" x14ac:dyDescent="0.2">
      <c r="GE1136"/>
      <c r="GF1136"/>
      <c r="GG1136"/>
      <c r="GH1136"/>
    </row>
    <row r="1137" spans="187:190" s="1" customFormat="1" ht="18" customHeight="1" x14ac:dyDescent="0.2">
      <c r="GE1137"/>
      <c r="GF1137"/>
      <c r="GG1137"/>
      <c r="GH1137"/>
    </row>
    <row r="1138" spans="187:190" s="1" customFormat="1" ht="18" customHeight="1" x14ac:dyDescent="0.2">
      <c r="GE1138"/>
      <c r="GF1138"/>
      <c r="GG1138"/>
      <c r="GH1138"/>
    </row>
    <row r="1139" spans="187:190" s="1" customFormat="1" ht="18" customHeight="1" x14ac:dyDescent="0.2">
      <c r="GE1139"/>
      <c r="GF1139"/>
      <c r="GG1139"/>
      <c r="GH1139"/>
    </row>
    <row r="1140" spans="187:190" s="1" customFormat="1" ht="18" customHeight="1" x14ac:dyDescent="0.2">
      <c r="GE1140"/>
      <c r="GF1140"/>
      <c r="GG1140"/>
      <c r="GH1140"/>
    </row>
    <row r="1141" spans="187:190" s="1" customFormat="1" ht="18" customHeight="1" x14ac:dyDescent="0.2">
      <c r="GE1141"/>
      <c r="GF1141"/>
      <c r="GG1141"/>
      <c r="GH1141"/>
    </row>
    <row r="1142" spans="187:190" s="1" customFormat="1" ht="18" customHeight="1" x14ac:dyDescent="0.2">
      <c r="GE1142"/>
      <c r="GF1142"/>
      <c r="GG1142"/>
      <c r="GH1142"/>
    </row>
    <row r="1143" spans="187:190" s="1" customFormat="1" ht="18" customHeight="1" x14ac:dyDescent="0.2">
      <c r="GE1143"/>
      <c r="GF1143"/>
      <c r="GG1143"/>
      <c r="GH1143"/>
    </row>
    <row r="1144" spans="187:190" s="1" customFormat="1" ht="18" customHeight="1" x14ac:dyDescent="0.2">
      <c r="GE1144"/>
      <c r="GF1144"/>
      <c r="GG1144"/>
      <c r="GH1144"/>
    </row>
    <row r="1145" spans="187:190" s="1" customFormat="1" ht="18" customHeight="1" x14ac:dyDescent="0.2">
      <c r="GE1145"/>
      <c r="GF1145"/>
      <c r="GG1145"/>
      <c r="GH1145"/>
    </row>
    <row r="1146" spans="187:190" s="1" customFormat="1" ht="18" customHeight="1" x14ac:dyDescent="0.2">
      <c r="GE1146"/>
      <c r="GF1146"/>
      <c r="GG1146"/>
      <c r="GH1146"/>
    </row>
    <row r="1147" spans="187:190" s="1" customFormat="1" ht="18" customHeight="1" x14ac:dyDescent="0.2">
      <c r="GE1147"/>
      <c r="GF1147"/>
      <c r="GG1147"/>
      <c r="GH1147"/>
    </row>
    <row r="1148" spans="187:190" s="1" customFormat="1" ht="18" customHeight="1" x14ac:dyDescent="0.2">
      <c r="GE1148"/>
      <c r="GF1148"/>
      <c r="GG1148"/>
      <c r="GH1148"/>
    </row>
    <row r="1149" spans="187:190" s="1" customFormat="1" ht="18" customHeight="1" x14ac:dyDescent="0.2">
      <c r="GE1149"/>
      <c r="GF1149"/>
      <c r="GG1149"/>
      <c r="GH1149"/>
    </row>
    <row r="1150" spans="187:190" s="1" customFormat="1" ht="18" customHeight="1" x14ac:dyDescent="0.2">
      <c r="GE1150"/>
      <c r="GF1150"/>
      <c r="GG1150"/>
      <c r="GH1150"/>
    </row>
    <row r="1151" spans="187:190" s="1" customFormat="1" ht="18" customHeight="1" x14ac:dyDescent="0.2">
      <c r="GE1151"/>
      <c r="GF1151"/>
      <c r="GG1151"/>
      <c r="GH1151"/>
    </row>
    <row r="1152" spans="187:190" s="1" customFormat="1" ht="18" customHeight="1" x14ac:dyDescent="0.2">
      <c r="GE1152"/>
      <c r="GF1152"/>
      <c r="GG1152"/>
      <c r="GH1152"/>
    </row>
    <row r="1153" spans="187:190" s="1" customFormat="1" ht="18" customHeight="1" x14ac:dyDescent="0.2">
      <c r="GE1153"/>
      <c r="GF1153"/>
      <c r="GG1153"/>
      <c r="GH1153"/>
    </row>
    <row r="1154" spans="187:190" s="1" customFormat="1" ht="18" customHeight="1" x14ac:dyDescent="0.2">
      <c r="GE1154"/>
      <c r="GF1154"/>
      <c r="GG1154"/>
      <c r="GH1154"/>
    </row>
    <row r="1155" spans="187:190" s="1" customFormat="1" ht="18" customHeight="1" x14ac:dyDescent="0.2">
      <c r="GE1155"/>
      <c r="GF1155"/>
      <c r="GG1155"/>
      <c r="GH1155"/>
    </row>
    <row r="1156" spans="187:190" s="1" customFormat="1" ht="18" customHeight="1" x14ac:dyDescent="0.2">
      <c r="GE1156"/>
      <c r="GF1156"/>
      <c r="GG1156"/>
      <c r="GH1156"/>
    </row>
    <row r="1157" spans="187:190" s="1" customFormat="1" ht="18" customHeight="1" x14ac:dyDescent="0.2">
      <c r="GE1157"/>
      <c r="GF1157"/>
      <c r="GG1157"/>
      <c r="GH1157"/>
    </row>
    <row r="1158" spans="187:190" s="1" customFormat="1" ht="18" customHeight="1" x14ac:dyDescent="0.2">
      <c r="GE1158"/>
      <c r="GF1158"/>
      <c r="GG1158"/>
      <c r="GH1158"/>
    </row>
    <row r="1159" spans="187:190" s="1" customFormat="1" ht="18" customHeight="1" x14ac:dyDescent="0.2">
      <c r="GE1159"/>
      <c r="GF1159"/>
      <c r="GG1159"/>
      <c r="GH1159"/>
    </row>
    <row r="1160" spans="187:190" s="1" customFormat="1" ht="18" customHeight="1" x14ac:dyDescent="0.2">
      <c r="GE1160"/>
      <c r="GF1160"/>
      <c r="GG1160"/>
      <c r="GH1160"/>
    </row>
    <row r="1161" spans="187:190" s="1" customFormat="1" ht="18" customHeight="1" x14ac:dyDescent="0.2">
      <c r="GE1161"/>
      <c r="GF1161"/>
      <c r="GG1161"/>
      <c r="GH1161"/>
    </row>
    <row r="1162" spans="187:190" s="1" customFormat="1" ht="18" customHeight="1" x14ac:dyDescent="0.2">
      <c r="GE1162"/>
      <c r="GF1162"/>
      <c r="GG1162"/>
      <c r="GH1162"/>
    </row>
    <row r="1163" spans="187:190" s="1" customFormat="1" ht="18" customHeight="1" x14ac:dyDescent="0.2">
      <c r="GE1163"/>
      <c r="GF1163"/>
      <c r="GG1163"/>
      <c r="GH1163"/>
    </row>
    <row r="1164" spans="187:190" s="1" customFormat="1" ht="18" customHeight="1" x14ac:dyDescent="0.2">
      <c r="GE1164"/>
      <c r="GF1164"/>
      <c r="GG1164"/>
      <c r="GH1164"/>
    </row>
    <row r="1165" spans="187:190" s="1" customFormat="1" ht="18" customHeight="1" x14ac:dyDescent="0.2">
      <c r="GE1165"/>
      <c r="GF1165"/>
      <c r="GG1165"/>
      <c r="GH1165"/>
    </row>
    <row r="1166" spans="187:190" s="1" customFormat="1" ht="18" customHeight="1" x14ac:dyDescent="0.2">
      <c r="GE1166"/>
      <c r="GF1166"/>
      <c r="GG1166"/>
      <c r="GH1166"/>
    </row>
    <row r="1167" spans="187:190" s="1" customFormat="1" ht="18" customHeight="1" x14ac:dyDescent="0.2">
      <c r="GE1167"/>
      <c r="GF1167"/>
      <c r="GG1167"/>
      <c r="GH1167"/>
    </row>
    <row r="1168" spans="187:190" s="1" customFormat="1" ht="18" customHeight="1" x14ac:dyDescent="0.2">
      <c r="GE1168"/>
      <c r="GF1168"/>
      <c r="GG1168"/>
      <c r="GH1168"/>
    </row>
    <row r="1169" spans="187:190" s="1" customFormat="1" ht="18" customHeight="1" x14ac:dyDescent="0.2">
      <c r="GE1169"/>
      <c r="GF1169"/>
      <c r="GG1169"/>
      <c r="GH1169"/>
    </row>
    <row r="1170" spans="187:190" s="1" customFormat="1" ht="18" customHeight="1" x14ac:dyDescent="0.2">
      <c r="GE1170"/>
      <c r="GF1170"/>
      <c r="GG1170"/>
      <c r="GH1170"/>
    </row>
    <row r="1171" spans="187:190" s="1" customFormat="1" ht="18" customHeight="1" x14ac:dyDescent="0.2">
      <c r="GE1171"/>
      <c r="GF1171"/>
      <c r="GG1171"/>
      <c r="GH1171"/>
    </row>
    <row r="1172" spans="187:190" s="1" customFormat="1" ht="18" customHeight="1" x14ac:dyDescent="0.2">
      <c r="GE1172"/>
      <c r="GF1172"/>
      <c r="GG1172"/>
      <c r="GH1172"/>
    </row>
    <row r="1173" spans="187:190" s="1" customFormat="1" ht="18" customHeight="1" x14ac:dyDescent="0.2">
      <c r="GE1173"/>
      <c r="GF1173"/>
      <c r="GG1173"/>
      <c r="GH1173"/>
    </row>
    <row r="1174" spans="187:190" s="1" customFormat="1" ht="18" customHeight="1" x14ac:dyDescent="0.2">
      <c r="GE1174"/>
      <c r="GF1174"/>
      <c r="GG1174"/>
      <c r="GH1174"/>
    </row>
    <row r="1175" spans="187:190" s="1" customFormat="1" ht="18" customHeight="1" x14ac:dyDescent="0.2">
      <c r="GE1175"/>
      <c r="GF1175"/>
      <c r="GG1175"/>
      <c r="GH1175"/>
    </row>
    <row r="1176" spans="187:190" s="1" customFormat="1" ht="18" customHeight="1" x14ac:dyDescent="0.2">
      <c r="GE1176"/>
      <c r="GF1176"/>
      <c r="GG1176"/>
      <c r="GH1176"/>
    </row>
    <row r="1177" spans="187:190" s="1" customFormat="1" ht="18" customHeight="1" x14ac:dyDescent="0.2">
      <c r="GE1177"/>
      <c r="GF1177"/>
      <c r="GG1177"/>
      <c r="GH1177"/>
    </row>
    <row r="1178" spans="187:190" s="1" customFormat="1" ht="18" customHeight="1" x14ac:dyDescent="0.2">
      <c r="GE1178"/>
      <c r="GF1178"/>
      <c r="GG1178"/>
      <c r="GH1178"/>
    </row>
    <row r="1179" spans="187:190" s="1" customFormat="1" ht="18" customHeight="1" x14ac:dyDescent="0.2">
      <c r="GE1179"/>
      <c r="GF1179"/>
      <c r="GG1179"/>
      <c r="GH1179"/>
    </row>
    <row r="1180" spans="187:190" s="1" customFormat="1" ht="18" customHeight="1" x14ac:dyDescent="0.2">
      <c r="GE1180"/>
      <c r="GF1180"/>
      <c r="GG1180"/>
      <c r="GH1180"/>
    </row>
    <row r="1181" spans="187:190" s="1" customFormat="1" ht="18" customHeight="1" x14ac:dyDescent="0.2">
      <c r="GE1181"/>
      <c r="GF1181"/>
      <c r="GG1181"/>
      <c r="GH1181"/>
    </row>
    <row r="1182" spans="187:190" s="1" customFormat="1" ht="18" customHeight="1" x14ac:dyDescent="0.2">
      <c r="GE1182"/>
      <c r="GF1182"/>
      <c r="GG1182"/>
      <c r="GH1182"/>
    </row>
    <row r="1183" spans="187:190" s="1" customFormat="1" ht="18" customHeight="1" x14ac:dyDescent="0.2">
      <c r="GE1183"/>
      <c r="GF1183"/>
      <c r="GG1183"/>
      <c r="GH1183"/>
    </row>
    <row r="1184" spans="187:190" s="1" customFormat="1" ht="18" customHeight="1" x14ac:dyDescent="0.2">
      <c r="GE1184"/>
      <c r="GF1184"/>
      <c r="GG1184"/>
      <c r="GH1184"/>
    </row>
    <row r="1185" spans="187:190" s="1" customFormat="1" ht="18" customHeight="1" x14ac:dyDescent="0.2">
      <c r="GE1185"/>
      <c r="GF1185"/>
      <c r="GG1185"/>
      <c r="GH1185"/>
    </row>
    <row r="1186" spans="187:190" s="1" customFormat="1" ht="18" customHeight="1" x14ac:dyDescent="0.2">
      <c r="GE1186"/>
      <c r="GF1186"/>
      <c r="GG1186"/>
      <c r="GH1186"/>
    </row>
    <row r="1187" spans="187:190" s="1" customFormat="1" ht="18" customHeight="1" x14ac:dyDescent="0.2">
      <c r="GE1187"/>
      <c r="GF1187"/>
      <c r="GG1187"/>
      <c r="GH1187"/>
    </row>
    <row r="1188" spans="187:190" s="1" customFormat="1" ht="18" customHeight="1" x14ac:dyDescent="0.2">
      <c r="GE1188"/>
      <c r="GF1188"/>
      <c r="GG1188"/>
      <c r="GH1188"/>
    </row>
    <row r="1189" spans="187:190" s="1" customFormat="1" ht="18" customHeight="1" x14ac:dyDescent="0.2">
      <c r="GE1189"/>
      <c r="GF1189"/>
      <c r="GG1189"/>
      <c r="GH1189"/>
    </row>
    <row r="1190" spans="187:190" s="1" customFormat="1" ht="18" customHeight="1" x14ac:dyDescent="0.2">
      <c r="GE1190"/>
      <c r="GF1190"/>
      <c r="GG1190"/>
      <c r="GH1190"/>
    </row>
    <row r="1191" spans="187:190" s="1" customFormat="1" ht="18" customHeight="1" x14ac:dyDescent="0.2">
      <c r="GE1191"/>
      <c r="GF1191"/>
      <c r="GG1191"/>
      <c r="GH1191"/>
    </row>
    <row r="1192" spans="187:190" s="1" customFormat="1" ht="18" customHeight="1" x14ac:dyDescent="0.2">
      <c r="GE1192"/>
      <c r="GF1192"/>
      <c r="GG1192"/>
      <c r="GH1192"/>
    </row>
    <row r="1193" spans="187:190" s="1" customFormat="1" ht="18" customHeight="1" x14ac:dyDescent="0.2">
      <c r="GE1193"/>
      <c r="GF1193"/>
      <c r="GG1193"/>
      <c r="GH1193"/>
    </row>
    <row r="1194" spans="187:190" s="1" customFormat="1" ht="18" customHeight="1" x14ac:dyDescent="0.2">
      <c r="GE1194"/>
      <c r="GF1194"/>
      <c r="GG1194"/>
      <c r="GH1194"/>
    </row>
    <row r="1195" spans="187:190" s="1" customFormat="1" ht="18" customHeight="1" x14ac:dyDescent="0.2">
      <c r="GE1195"/>
      <c r="GF1195"/>
      <c r="GG1195"/>
      <c r="GH1195"/>
    </row>
    <row r="1196" spans="187:190" s="1" customFormat="1" ht="18" customHeight="1" x14ac:dyDescent="0.2">
      <c r="GE1196"/>
      <c r="GF1196"/>
      <c r="GG1196"/>
      <c r="GH1196"/>
    </row>
    <row r="1197" spans="187:190" s="1" customFormat="1" ht="18" customHeight="1" x14ac:dyDescent="0.2">
      <c r="GE1197"/>
      <c r="GF1197"/>
      <c r="GG1197"/>
      <c r="GH1197"/>
    </row>
    <row r="1198" spans="187:190" s="1" customFormat="1" ht="18" customHeight="1" x14ac:dyDescent="0.2">
      <c r="GE1198"/>
      <c r="GF1198"/>
      <c r="GG1198"/>
      <c r="GH1198"/>
    </row>
    <row r="1199" spans="187:190" s="1" customFormat="1" ht="18" customHeight="1" x14ac:dyDescent="0.2">
      <c r="GE1199"/>
      <c r="GF1199"/>
      <c r="GG1199"/>
      <c r="GH1199"/>
    </row>
    <row r="1200" spans="187:190" s="1" customFormat="1" ht="18" customHeight="1" x14ac:dyDescent="0.2">
      <c r="GE1200"/>
      <c r="GF1200"/>
      <c r="GG1200"/>
      <c r="GH1200"/>
    </row>
    <row r="1201" spans="187:190" s="1" customFormat="1" ht="18" customHeight="1" x14ac:dyDescent="0.2">
      <c r="GE1201"/>
      <c r="GF1201"/>
      <c r="GG1201"/>
      <c r="GH1201"/>
    </row>
    <row r="1202" spans="187:190" s="1" customFormat="1" ht="18" customHeight="1" x14ac:dyDescent="0.2">
      <c r="GE1202"/>
      <c r="GF1202"/>
      <c r="GG1202"/>
      <c r="GH1202"/>
    </row>
    <row r="1203" spans="187:190" s="1" customFormat="1" ht="18" customHeight="1" x14ac:dyDescent="0.2">
      <c r="GE1203"/>
      <c r="GF1203"/>
      <c r="GG1203"/>
      <c r="GH1203"/>
    </row>
    <row r="1204" spans="187:190" s="1" customFormat="1" ht="18" customHeight="1" x14ac:dyDescent="0.2">
      <c r="GE1204"/>
      <c r="GF1204"/>
      <c r="GG1204"/>
      <c r="GH1204"/>
    </row>
    <row r="1205" spans="187:190" s="1" customFormat="1" ht="18" customHeight="1" x14ac:dyDescent="0.2">
      <c r="GE1205"/>
      <c r="GF1205"/>
      <c r="GG1205"/>
      <c r="GH1205"/>
    </row>
    <row r="1206" spans="187:190" s="1" customFormat="1" ht="18" customHeight="1" x14ac:dyDescent="0.2">
      <c r="GE1206"/>
      <c r="GF1206"/>
      <c r="GG1206"/>
      <c r="GH1206"/>
    </row>
    <row r="1207" spans="187:190" s="1" customFormat="1" ht="18" customHeight="1" x14ac:dyDescent="0.2">
      <c r="GE1207"/>
      <c r="GF1207"/>
      <c r="GG1207"/>
      <c r="GH1207"/>
    </row>
    <row r="1208" spans="187:190" s="1" customFormat="1" ht="18" customHeight="1" x14ac:dyDescent="0.2">
      <c r="GE1208"/>
      <c r="GF1208"/>
      <c r="GG1208"/>
      <c r="GH1208"/>
    </row>
    <row r="1209" spans="187:190" s="1" customFormat="1" ht="18" customHeight="1" x14ac:dyDescent="0.2">
      <c r="GE1209"/>
      <c r="GF1209"/>
      <c r="GG1209"/>
      <c r="GH1209"/>
    </row>
    <row r="1210" spans="187:190" s="1" customFormat="1" ht="18" customHeight="1" x14ac:dyDescent="0.2">
      <c r="GE1210"/>
      <c r="GF1210"/>
      <c r="GG1210"/>
      <c r="GH1210"/>
    </row>
    <row r="1211" spans="187:190" s="1" customFormat="1" ht="18" customHeight="1" x14ac:dyDescent="0.2">
      <c r="GE1211"/>
      <c r="GF1211"/>
      <c r="GG1211"/>
      <c r="GH1211"/>
    </row>
    <row r="1212" spans="187:190" s="1" customFormat="1" ht="18" customHeight="1" x14ac:dyDescent="0.2">
      <c r="GE1212"/>
      <c r="GF1212"/>
      <c r="GG1212"/>
      <c r="GH1212"/>
    </row>
    <row r="1213" spans="187:190" s="1" customFormat="1" ht="18" customHeight="1" x14ac:dyDescent="0.2">
      <c r="GE1213"/>
      <c r="GF1213"/>
      <c r="GG1213"/>
      <c r="GH1213"/>
    </row>
    <row r="1214" spans="187:190" s="1" customFormat="1" ht="18" customHeight="1" x14ac:dyDescent="0.2">
      <c r="GE1214"/>
      <c r="GF1214"/>
      <c r="GG1214"/>
      <c r="GH1214"/>
    </row>
    <row r="1215" spans="187:190" s="1" customFormat="1" ht="18" customHeight="1" x14ac:dyDescent="0.2">
      <c r="GE1215"/>
      <c r="GF1215"/>
      <c r="GG1215"/>
      <c r="GH1215"/>
    </row>
    <row r="1216" spans="187:190" s="1" customFormat="1" ht="18" customHeight="1" x14ac:dyDescent="0.2">
      <c r="GE1216"/>
      <c r="GF1216"/>
      <c r="GG1216"/>
      <c r="GH1216"/>
    </row>
    <row r="1217" spans="187:190" s="1" customFormat="1" ht="18" customHeight="1" x14ac:dyDescent="0.2">
      <c r="GE1217"/>
      <c r="GF1217"/>
      <c r="GG1217"/>
      <c r="GH1217"/>
    </row>
    <row r="1218" spans="187:190" s="1" customFormat="1" ht="18" customHeight="1" x14ac:dyDescent="0.2">
      <c r="GE1218"/>
      <c r="GF1218"/>
      <c r="GG1218"/>
      <c r="GH1218"/>
    </row>
    <row r="1219" spans="187:190" s="1" customFormat="1" ht="18" customHeight="1" x14ac:dyDescent="0.2">
      <c r="GE1219"/>
      <c r="GF1219"/>
      <c r="GG1219"/>
      <c r="GH1219"/>
    </row>
    <row r="1220" spans="187:190" s="1" customFormat="1" ht="18" customHeight="1" x14ac:dyDescent="0.2">
      <c r="GE1220"/>
      <c r="GF1220"/>
      <c r="GG1220"/>
      <c r="GH1220"/>
    </row>
    <row r="1221" spans="187:190" s="1" customFormat="1" ht="18" customHeight="1" x14ac:dyDescent="0.2">
      <c r="GE1221"/>
      <c r="GF1221"/>
      <c r="GG1221"/>
      <c r="GH1221"/>
    </row>
    <row r="1222" spans="187:190" s="1" customFormat="1" ht="18" customHeight="1" x14ac:dyDescent="0.2">
      <c r="GE1222"/>
      <c r="GF1222"/>
      <c r="GG1222"/>
      <c r="GH1222"/>
    </row>
    <row r="1223" spans="187:190" s="1" customFormat="1" ht="18" customHeight="1" x14ac:dyDescent="0.2">
      <c r="GE1223"/>
      <c r="GF1223"/>
      <c r="GG1223"/>
      <c r="GH1223"/>
    </row>
    <row r="1224" spans="187:190" s="1" customFormat="1" ht="18" customHeight="1" x14ac:dyDescent="0.2">
      <c r="GE1224"/>
      <c r="GF1224"/>
      <c r="GG1224"/>
      <c r="GH1224"/>
    </row>
    <row r="1225" spans="187:190" s="1" customFormat="1" ht="18" customHeight="1" x14ac:dyDescent="0.2">
      <c r="GE1225"/>
      <c r="GF1225"/>
      <c r="GG1225"/>
      <c r="GH1225"/>
    </row>
    <row r="1226" spans="187:190" s="1" customFormat="1" ht="18" customHeight="1" x14ac:dyDescent="0.2">
      <c r="GE1226"/>
      <c r="GF1226"/>
      <c r="GG1226"/>
      <c r="GH1226"/>
    </row>
    <row r="1227" spans="187:190" s="1" customFormat="1" ht="18" customHeight="1" x14ac:dyDescent="0.2">
      <c r="GE1227"/>
      <c r="GF1227"/>
      <c r="GG1227"/>
      <c r="GH1227"/>
    </row>
    <row r="1228" spans="187:190" s="1" customFormat="1" ht="18" customHeight="1" x14ac:dyDescent="0.2">
      <c r="GE1228"/>
      <c r="GF1228"/>
      <c r="GG1228"/>
      <c r="GH1228"/>
    </row>
    <row r="1229" spans="187:190" s="1" customFormat="1" ht="18" customHeight="1" x14ac:dyDescent="0.2">
      <c r="GE1229"/>
      <c r="GF1229"/>
      <c r="GG1229"/>
      <c r="GH1229"/>
    </row>
    <row r="1230" spans="187:190" s="1" customFormat="1" ht="18" customHeight="1" x14ac:dyDescent="0.2">
      <c r="GE1230"/>
      <c r="GF1230"/>
      <c r="GG1230"/>
      <c r="GH1230"/>
    </row>
    <row r="1231" spans="187:190" s="1" customFormat="1" ht="18" customHeight="1" x14ac:dyDescent="0.2">
      <c r="GE1231"/>
      <c r="GF1231"/>
      <c r="GG1231"/>
      <c r="GH1231"/>
    </row>
    <row r="1232" spans="187:190" s="1" customFormat="1" ht="18" customHeight="1" x14ac:dyDescent="0.2">
      <c r="GE1232"/>
      <c r="GF1232"/>
      <c r="GG1232"/>
      <c r="GH1232"/>
    </row>
    <row r="1233" spans="187:190" s="1" customFormat="1" ht="18" customHeight="1" x14ac:dyDescent="0.2">
      <c r="GE1233"/>
      <c r="GF1233"/>
      <c r="GG1233"/>
      <c r="GH1233"/>
    </row>
    <row r="1234" spans="187:190" s="1" customFormat="1" ht="18" customHeight="1" x14ac:dyDescent="0.2">
      <c r="GE1234"/>
      <c r="GF1234"/>
      <c r="GG1234"/>
      <c r="GH1234"/>
    </row>
    <row r="1235" spans="187:190" s="1" customFormat="1" ht="18" customHeight="1" x14ac:dyDescent="0.2">
      <c r="GE1235"/>
      <c r="GF1235"/>
      <c r="GG1235"/>
      <c r="GH1235"/>
    </row>
    <row r="1236" spans="187:190" s="1" customFormat="1" ht="18" customHeight="1" x14ac:dyDescent="0.2">
      <c r="GE1236"/>
      <c r="GF1236"/>
      <c r="GG1236"/>
      <c r="GH1236"/>
    </row>
    <row r="1237" spans="187:190" s="1" customFormat="1" ht="18" customHeight="1" x14ac:dyDescent="0.2">
      <c r="GE1237"/>
      <c r="GF1237"/>
      <c r="GG1237"/>
      <c r="GH1237"/>
    </row>
    <row r="1238" spans="187:190" s="1" customFormat="1" ht="18" customHeight="1" x14ac:dyDescent="0.2">
      <c r="GE1238"/>
      <c r="GF1238"/>
      <c r="GG1238"/>
      <c r="GH1238"/>
    </row>
    <row r="1239" spans="187:190" s="1" customFormat="1" ht="18" customHeight="1" x14ac:dyDescent="0.2">
      <c r="GE1239"/>
      <c r="GF1239"/>
      <c r="GG1239"/>
      <c r="GH1239"/>
    </row>
    <row r="1240" spans="187:190" s="1" customFormat="1" ht="18" customHeight="1" x14ac:dyDescent="0.2">
      <c r="GE1240"/>
      <c r="GF1240"/>
      <c r="GG1240"/>
      <c r="GH1240"/>
    </row>
    <row r="1241" spans="187:190" s="1" customFormat="1" ht="18" customHeight="1" x14ac:dyDescent="0.2">
      <c r="GE1241"/>
      <c r="GF1241"/>
      <c r="GG1241"/>
      <c r="GH1241"/>
    </row>
    <row r="1242" spans="187:190" s="1" customFormat="1" ht="18" customHeight="1" x14ac:dyDescent="0.2">
      <c r="GE1242"/>
      <c r="GF1242"/>
      <c r="GG1242"/>
      <c r="GH1242"/>
    </row>
    <row r="1243" spans="187:190" s="1" customFormat="1" ht="18" customHeight="1" x14ac:dyDescent="0.2">
      <c r="GE1243"/>
      <c r="GF1243"/>
      <c r="GG1243"/>
      <c r="GH1243"/>
    </row>
    <row r="1244" spans="187:190" s="1" customFormat="1" ht="18" customHeight="1" x14ac:dyDescent="0.2">
      <c r="GE1244"/>
      <c r="GF1244"/>
      <c r="GG1244"/>
      <c r="GH1244"/>
    </row>
    <row r="1245" spans="187:190" s="1" customFormat="1" ht="18" customHeight="1" x14ac:dyDescent="0.2">
      <c r="GE1245"/>
      <c r="GF1245"/>
      <c r="GG1245"/>
      <c r="GH1245"/>
    </row>
    <row r="1246" spans="187:190" s="1" customFormat="1" ht="18" customHeight="1" x14ac:dyDescent="0.2">
      <c r="GE1246"/>
      <c r="GF1246"/>
      <c r="GG1246"/>
      <c r="GH1246"/>
    </row>
    <row r="1247" spans="187:190" s="1" customFormat="1" ht="18" customHeight="1" x14ac:dyDescent="0.2">
      <c r="GE1247"/>
      <c r="GF1247"/>
      <c r="GG1247"/>
      <c r="GH1247"/>
    </row>
    <row r="1248" spans="187:190" s="1" customFormat="1" ht="18" customHeight="1" x14ac:dyDescent="0.2">
      <c r="GE1248"/>
      <c r="GF1248"/>
      <c r="GG1248"/>
      <c r="GH1248"/>
    </row>
    <row r="1249" spans="187:190" s="1" customFormat="1" ht="18" customHeight="1" x14ac:dyDescent="0.2">
      <c r="GE1249"/>
      <c r="GF1249"/>
      <c r="GG1249"/>
      <c r="GH1249"/>
    </row>
    <row r="1250" spans="187:190" s="1" customFormat="1" ht="18" customHeight="1" x14ac:dyDescent="0.2">
      <c r="GE1250"/>
      <c r="GF1250"/>
      <c r="GG1250"/>
      <c r="GH1250"/>
    </row>
    <row r="1251" spans="187:190" s="1" customFormat="1" ht="18" customHeight="1" x14ac:dyDescent="0.2">
      <c r="GE1251"/>
      <c r="GF1251"/>
      <c r="GG1251"/>
      <c r="GH1251"/>
    </row>
    <row r="1252" spans="187:190" s="1" customFormat="1" ht="18" customHeight="1" x14ac:dyDescent="0.2">
      <c r="GE1252"/>
      <c r="GF1252"/>
      <c r="GG1252"/>
      <c r="GH1252"/>
    </row>
    <row r="1253" spans="187:190" s="1" customFormat="1" ht="18" customHeight="1" x14ac:dyDescent="0.2">
      <c r="GE1253"/>
      <c r="GF1253"/>
      <c r="GG1253"/>
      <c r="GH1253"/>
    </row>
    <row r="1254" spans="187:190" s="1" customFormat="1" ht="18" customHeight="1" x14ac:dyDescent="0.2">
      <c r="GE1254"/>
      <c r="GF1254"/>
      <c r="GG1254"/>
      <c r="GH1254"/>
    </row>
    <row r="1255" spans="187:190" s="1" customFormat="1" ht="18" customHeight="1" x14ac:dyDescent="0.2">
      <c r="GE1255"/>
      <c r="GF1255"/>
      <c r="GG1255"/>
      <c r="GH1255"/>
    </row>
    <row r="1256" spans="187:190" s="1" customFormat="1" ht="18" customHeight="1" x14ac:dyDescent="0.2">
      <c r="GE1256"/>
      <c r="GF1256"/>
      <c r="GG1256"/>
      <c r="GH1256"/>
    </row>
    <row r="1257" spans="187:190" s="1" customFormat="1" ht="18" customHeight="1" x14ac:dyDescent="0.2">
      <c r="GE1257"/>
      <c r="GF1257"/>
      <c r="GG1257"/>
      <c r="GH1257"/>
    </row>
    <row r="1258" spans="187:190" s="1" customFormat="1" ht="18" customHeight="1" x14ac:dyDescent="0.2">
      <c r="GE1258"/>
      <c r="GF1258"/>
      <c r="GG1258"/>
      <c r="GH1258"/>
    </row>
    <row r="1259" spans="187:190" s="1" customFormat="1" ht="18" customHeight="1" x14ac:dyDescent="0.2">
      <c r="GE1259"/>
      <c r="GF1259"/>
      <c r="GG1259"/>
      <c r="GH1259"/>
    </row>
    <row r="1260" spans="187:190" s="1" customFormat="1" ht="18" customHeight="1" x14ac:dyDescent="0.2">
      <c r="GE1260"/>
      <c r="GF1260"/>
      <c r="GG1260"/>
      <c r="GH1260"/>
    </row>
    <row r="1261" spans="187:190" s="1" customFormat="1" ht="18" customHeight="1" x14ac:dyDescent="0.2">
      <c r="GE1261"/>
      <c r="GF1261"/>
      <c r="GG1261"/>
      <c r="GH1261"/>
    </row>
    <row r="1262" spans="187:190" s="1" customFormat="1" ht="18" customHeight="1" x14ac:dyDescent="0.2">
      <c r="GE1262"/>
      <c r="GF1262"/>
      <c r="GG1262"/>
      <c r="GH1262"/>
    </row>
    <row r="1263" spans="187:190" s="1" customFormat="1" ht="18" customHeight="1" x14ac:dyDescent="0.2">
      <c r="GE1263"/>
      <c r="GF1263"/>
      <c r="GG1263"/>
      <c r="GH1263"/>
    </row>
    <row r="1264" spans="187:190" s="1" customFormat="1" ht="18" customHeight="1" x14ac:dyDescent="0.2">
      <c r="GE1264"/>
      <c r="GF1264"/>
      <c r="GG1264"/>
      <c r="GH1264"/>
    </row>
    <row r="1265" spans="187:190" s="1" customFormat="1" ht="18" customHeight="1" x14ac:dyDescent="0.2">
      <c r="GE1265"/>
      <c r="GF1265"/>
      <c r="GG1265"/>
      <c r="GH1265"/>
    </row>
    <row r="1266" spans="187:190" s="1" customFormat="1" ht="18" customHeight="1" x14ac:dyDescent="0.2">
      <c r="GE1266"/>
      <c r="GF1266"/>
      <c r="GG1266"/>
      <c r="GH1266"/>
    </row>
    <row r="1267" spans="187:190" s="1" customFormat="1" ht="18" customHeight="1" x14ac:dyDescent="0.2">
      <c r="GE1267"/>
      <c r="GF1267"/>
      <c r="GG1267"/>
      <c r="GH1267"/>
    </row>
    <row r="1268" spans="187:190" s="1" customFormat="1" ht="18" customHeight="1" x14ac:dyDescent="0.2">
      <c r="GE1268"/>
      <c r="GF1268"/>
      <c r="GG1268"/>
      <c r="GH1268"/>
    </row>
    <row r="1269" spans="187:190" s="1" customFormat="1" ht="18" customHeight="1" x14ac:dyDescent="0.2">
      <c r="GE1269"/>
      <c r="GF1269"/>
      <c r="GG1269"/>
      <c r="GH1269"/>
    </row>
    <row r="1270" spans="187:190" s="1" customFormat="1" ht="18" customHeight="1" x14ac:dyDescent="0.2">
      <c r="GE1270"/>
      <c r="GF1270"/>
      <c r="GG1270"/>
      <c r="GH1270"/>
    </row>
    <row r="1271" spans="187:190" s="1" customFormat="1" ht="18" customHeight="1" x14ac:dyDescent="0.2">
      <c r="GE1271"/>
      <c r="GF1271"/>
      <c r="GG1271"/>
      <c r="GH1271"/>
    </row>
    <row r="1272" spans="187:190" s="1" customFormat="1" ht="18" customHeight="1" x14ac:dyDescent="0.2">
      <c r="GE1272"/>
      <c r="GF1272"/>
      <c r="GG1272"/>
      <c r="GH1272"/>
    </row>
    <row r="1273" spans="187:190" s="1" customFormat="1" ht="18" customHeight="1" x14ac:dyDescent="0.2">
      <c r="GE1273"/>
      <c r="GF1273"/>
      <c r="GG1273"/>
      <c r="GH1273"/>
    </row>
    <row r="1274" spans="187:190" s="1" customFormat="1" ht="18" customHeight="1" x14ac:dyDescent="0.2">
      <c r="GE1274"/>
      <c r="GF1274"/>
      <c r="GG1274"/>
      <c r="GH1274"/>
    </row>
    <row r="1275" spans="187:190" s="1" customFormat="1" ht="18" customHeight="1" x14ac:dyDescent="0.2">
      <c r="GE1275"/>
      <c r="GF1275"/>
      <c r="GG1275"/>
      <c r="GH1275"/>
    </row>
    <row r="1276" spans="187:190" s="1" customFormat="1" ht="18" customHeight="1" x14ac:dyDescent="0.2">
      <c r="GE1276"/>
      <c r="GF1276"/>
      <c r="GG1276"/>
      <c r="GH1276"/>
    </row>
    <row r="1277" spans="187:190" s="1" customFormat="1" ht="18" customHeight="1" x14ac:dyDescent="0.2">
      <c r="GE1277"/>
      <c r="GF1277"/>
      <c r="GG1277"/>
      <c r="GH1277"/>
    </row>
    <row r="1278" spans="187:190" s="1" customFormat="1" ht="18" customHeight="1" x14ac:dyDescent="0.2">
      <c r="GE1278"/>
      <c r="GF1278"/>
      <c r="GG1278"/>
      <c r="GH1278"/>
    </row>
    <row r="1279" spans="187:190" s="1" customFormat="1" ht="18" customHeight="1" x14ac:dyDescent="0.2">
      <c r="GE1279"/>
      <c r="GF1279"/>
      <c r="GG1279"/>
      <c r="GH1279"/>
    </row>
    <row r="1280" spans="187:190" s="1" customFormat="1" ht="18" customHeight="1" x14ac:dyDescent="0.2">
      <c r="GE1280"/>
      <c r="GF1280"/>
      <c r="GG1280"/>
      <c r="GH1280"/>
    </row>
    <row r="1281" spans="187:190" s="1" customFormat="1" ht="18" customHeight="1" x14ac:dyDescent="0.2">
      <c r="GE1281"/>
      <c r="GF1281"/>
      <c r="GG1281"/>
      <c r="GH1281"/>
    </row>
    <row r="1282" spans="187:190" s="1" customFormat="1" ht="18" customHeight="1" x14ac:dyDescent="0.2">
      <c r="GE1282"/>
      <c r="GF1282"/>
      <c r="GG1282"/>
      <c r="GH1282"/>
    </row>
    <row r="1283" spans="187:190" s="1" customFormat="1" ht="18" customHeight="1" x14ac:dyDescent="0.2">
      <c r="GE1283"/>
      <c r="GF1283"/>
      <c r="GG1283"/>
      <c r="GH1283"/>
    </row>
    <row r="1284" spans="187:190" s="1" customFormat="1" ht="18" customHeight="1" x14ac:dyDescent="0.2">
      <c r="GE1284"/>
      <c r="GF1284"/>
      <c r="GG1284"/>
      <c r="GH1284"/>
    </row>
    <row r="1285" spans="187:190" s="1" customFormat="1" ht="18" customHeight="1" x14ac:dyDescent="0.2">
      <c r="GE1285"/>
      <c r="GF1285"/>
      <c r="GG1285"/>
      <c r="GH1285"/>
    </row>
    <row r="1286" spans="187:190" s="1" customFormat="1" ht="18" customHeight="1" x14ac:dyDescent="0.2">
      <c r="GE1286"/>
      <c r="GF1286"/>
      <c r="GG1286"/>
      <c r="GH1286"/>
    </row>
    <row r="1287" spans="187:190" s="1" customFormat="1" ht="18" customHeight="1" x14ac:dyDescent="0.2">
      <c r="GE1287"/>
      <c r="GF1287"/>
      <c r="GG1287"/>
      <c r="GH1287"/>
    </row>
    <row r="1288" spans="187:190" s="1" customFormat="1" ht="18" customHeight="1" x14ac:dyDescent="0.2">
      <c r="GE1288"/>
      <c r="GF1288"/>
      <c r="GG1288"/>
      <c r="GH1288"/>
    </row>
    <row r="1289" spans="187:190" s="1" customFormat="1" ht="18" customHeight="1" x14ac:dyDescent="0.2">
      <c r="GE1289"/>
      <c r="GF1289"/>
      <c r="GG1289"/>
      <c r="GH1289"/>
    </row>
    <row r="1290" spans="187:190" s="1" customFormat="1" ht="18" customHeight="1" x14ac:dyDescent="0.2">
      <c r="GE1290"/>
      <c r="GF1290"/>
      <c r="GG1290"/>
      <c r="GH1290"/>
    </row>
    <row r="1291" spans="187:190" s="1" customFormat="1" ht="18" customHeight="1" x14ac:dyDescent="0.2">
      <c r="GE1291"/>
      <c r="GF1291"/>
      <c r="GG1291"/>
      <c r="GH1291"/>
    </row>
    <row r="1292" spans="187:190" s="1" customFormat="1" ht="18" customHeight="1" x14ac:dyDescent="0.2">
      <c r="GE1292"/>
      <c r="GF1292"/>
      <c r="GG1292"/>
      <c r="GH1292"/>
    </row>
    <row r="1293" spans="187:190" s="1" customFormat="1" ht="18" customHeight="1" x14ac:dyDescent="0.2">
      <c r="GE1293"/>
      <c r="GF1293"/>
      <c r="GG1293"/>
      <c r="GH1293"/>
    </row>
    <row r="1294" spans="187:190" s="1" customFormat="1" ht="18" customHeight="1" x14ac:dyDescent="0.2">
      <c r="GE1294"/>
      <c r="GF1294"/>
      <c r="GG1294"/>
      <c r="GH1294"/>
    </row>
    <row r="1295" spans="187:190" s="1" customFormat="1" ht="18" customHeight="1" x14ac:dyDescent="0.2">
      <c r="GE1295"/>
      <c r="GF1295"/>
      <c r="GG1295"/>
      <c r="GH1295"/>
    </row>
    <row r="1296" spans="187:190" s="1" customFormat="1" ht="18" customHeight="1" x14ac:dyDescent="0.2">
      <c r="GE1296"/>
      <c r="GF1296"/>
      <c r="GG1296"/>
      <c r="GH1296"/>
    </row>
    <row r="1297" spans="187:190" s="1" customFormat="1" ht="18" customHeight="1" x14ac:dyDescent="0.2">
      <c r="GE1297"/>
      <c r="GF1297"/>
      <c r="GG1297"/>
      <c r="GH1297"/>
    </row>
    <row r="1298" spans="187:190" s="1" customFormat="1" ht="18" customHeight="1" x14ac:dyDescent="0.2">
      <c r="GE1298"/>
      <c r="GF1298"/>
      <c r="GG1298"/>
      <c r="GH1298"/>
    </row>
    <row r="1299" spans="187:190" s="1" customFormat="1" ht="18" customHeight="1" x14ac:dyDescent="0.2">
      <c r="GE1299"/>
      <c r="GF1299"/>
      <c r="GG1299"/>
      <c r="GH1299"/>
    </row>
    <row r="1300" spans="187:190" s="1" customFormat="1" ht="18" customHeight="1" x14ac:dyDescent="0.2">
      <c r="GE1300"/>
      <c r="GF1300"/>
      <c r="GG1300"/>
      <c r="GH1300"/>
    </row>
    <row r="1301" spans="187:190" s="1" customFormat="1" ht="18" customHeight="1" x14ac:dyDescent="0.2">
      <c r="GE1301"/>
      <c r="GF1301"/>
      <c r="GG1301"/>
      <c r="GH1301"/>
    </row>
    <row r="1302" spans="187:190" s="1" customFormat="1" ht="18" customHeight="1" x14ac:dyDescent="0.2">
      <c r="GE1302"/>
      <c r="GF1302"/>
      <c r="GG1302"/>
      <c r="GH1302"/>
    </row>
    <row r="1303" spans="187:190" s="1" customFormat="1" ht="18" customHeight="1" x14ac:dyDescent="0.2">
      <c r="GE1303"/>
      <c r="GF1303"/>
      <c r="GG1303"/>
      <c r="GH1303"/>
    </row>
    <row r="1304" spans="187:190" s="1" customFormat="1" ht="18" customHeight="1" x14ac:dyDescent="0.2">
      <c r="GE1304"/>
      <c r="GF1304"/>
      <c r="GG1304"/>
      <c r="GH1304"/>
    </row>
    <row r="1305" spans="187:190" s="1" customFormat="1" ht="18" customHeight="1" x14ac:dyDescent="0.2">
      <c r="GE1305"/>
      <c r="GF1305"/>
      <c r="GG1305"/>
      <c r="GH1305"/>
    </row>
    <row r="1306" spans="187:190" s="1" customFormat="1" ht="18" customHeight="1" x14ac:dyDescent="0.2">
      <c r="GE1306"/>
      <c r="GF1306"/>
      <c r="GG1306"/>
      <c r="GH1306"/>
    </row>
    <row r="1307" spans="187:190" s="1" customFormat="1" ht="18" customHeight="1" x14ac:dyDescent="0.2">
      <c r="GE1307"/>
      <c r="GF1307"/>
      <c r="GG1307"/>
      <c r="GH1307"/>
    </row>
    <row r="1308" spans="187:190" s="1" customFormat="1" ht="18" customHeight="1" x14ac:dyDescent="0.2">
      <c r="GE1308"/>
      <c r="GF1308"/>
      <c r="GG1308"/>
      <c r="GH1308"/>
    </row>
    <row r="1309" spans="187:190" s="1" customFormat="1" ht="18" customHeight="1" x14ac:dyDescent="0.2">
      <c r="GE1309"/>
      <c r="GF1309"/>
      <c r="GG1309"/>
      <c r="GH1309"/>
    </row>
    <row r="1310" spans="187:190" s="1" customFormat="1" ht="18" customHeight="1" x14ac:dyDescent="0.2">
      <c r="GE1310"/>
      <c r="GF1310"/>
      <c r="GG1310"/>
      <c r="GH1310"/>
    </row>
    <row r="1311" spans="187:190" s="1" customFormat="1" ht="18" customHeight="1" x14ac:dyDescent="0.2">
      <c r="GE1311"/>
      <c r="GF1311"/>
      <c r="GG1311"/>
      <c r="GH1311"/>
    </row>
    <row r="1312" spans="187:190" s="1" customFormat="1" ht="18" customHeight="1" x14ac:dyDescent="0.2">
      <c r="GE1312"/>
      <c r="GF1312"/>
      <c r="GG1312"/>
      <c r="GH1312"/>
    </row>
    <row r="1313" spans="187:190" s="1" customFormat="1" ht="18" customHeight="1" x14ac:dyDescent="0.2">
      <c r="GE1313"/>
      <c r="GF1313"/>
      <c r="GG1313"/>
      <c r="GH1313"/>
    </row>
    <row r="1314" spans="187:190" s="1" customFormat="1" ht="18" customHeight="1" x14ac:dyDescent="0.2">
      <c r="GE1314"/>
      <c r="GF1314"/>
      <c r="GG1314"/>
      <c r="GH1314"/>
    </row>
    <row r="1315" spans="187:190" s="1" customFormat="1" ht="18" customHeight="1" x14ac:dyDescent="0.2">
      <c r="GE1315"/>
      <c r="GF1315"/>
      <c r="GG1315"/>
      <c r="GH1315"/>
    </row>
    <row r="1316" spans="187:190" s="1" customFormat="1" ht="18" customHeight="1" x14ac:dyDescent="0.2">
      <c r="GE1316"/>
      <c r="GF1316"/>
      <c r="GG1316"/>
      <c r="GH1316"/>
    </row>
    <row r="1317" spans="187:190" s="1" customFormat="1" ht="18" customHeight="1" x14ac:dyDescent="0.2">
      <c r="GE1317"/>
      <c r="GF1317"/>
      <c r="GG1317"/>
      <c r="GH1317"/>
    </row>
    <row r="1318" spans="187:190" s="1" customFormat="1" ht="18" customHeight="1" x14ac:dyDescent="0.2">
      <c r="GE1318"/>
      <c r="GF1318"/>
      <c r="GG1318"/>
      <c r="GH1318"/>
    </row>
    <row r="1319" spans="187:190" s="1" customFormat="1" ht="18" customHeight="1" x14ac:dyDescent="0.2">
      <c r="GE1319"/>
      <c r="GF1319"/>
      <c r="GG1319"/>
      <c r="GH1319"/>
    </row>
    <row r="1320" spans="187:190" s="1" customFormat="1" ht="18" customHeight="1" x14ac:dyDescent="0.2">
      <c r="GE1320"/>
      <c r="GF1320"/>
      <c r="GG1320"/>
      <c r="GH1320"/>
    </row>
    <row r="1321" spans="187:190" s="1" customFormat="1" ht="18" customHeight="1" x14ac:dyDescent="0.2">
      <c r="GE1321"/>
      <c r="GF1321"/>
      <c r="GG1321"/>
      <c r="GH1321"/>
    </row>
    <row r="1322" spans="187:190" s="1" customFormat="1" ht="18" customHeight="1" x14ac:dyDescent="0.2">
      <c r="GE1322"/>
      <c r="GF1322"/>
      <c r="GG1322"/>
      <c r="GH1322"/>
    </row>
    <row r="1323" spans="187:190" s="1" customFormat="1" ht="18" customHeight="1" x14ac:dyDescent="0.2">
      <c r="GE1323"/>
      <c r="GF1323"/>
      <c r="GG1323"/>
      <c r="GH1323"/>
    </row>
    <row r="1324" spans="187:190" s="1" customFormat="1" ht="18" customHeight="1" x14ac:dyDescent="0.2">
      <c r="GE1324"/>
      <c r="GF1324"/>
      <c r="GG1324"/>
      <c r="GH1324"/>
    </row>
    <row r="1325" spans="187:190" s="1" customFormat="1" ht="18" customHeight="1" x14ac:dyDescent="0.2">
      <c r="GE1325"/>
      <c r="GF1325"/>
      <c r="GG1325"/>
      <c r="GH1325"/>
    </row>
    <row r="1326" spans="187:190" s="1" customFormat="1" ht="18" customHeight="1" x14ac:dyDescent="0.2">
      <c r="GE1326"/>
      <c r="GF1326"/>
      <c r="GG1326"/>
      <c r="GH1326"/>
    </row>
    <row r="1327" spans="187:190" s="1" customFormat="1" ht="18" customHeight="1" x14ac:dyDescent="0.2">
      <c r="GE1327"/>
      <c r="GF1327"/>
      <c r="GG1327"/>
      <c r="GH1327"/>
    </row>
    <row r="1328" spans="187:190" s="1" customFormat="1" ht="18" customHeight="1" x14ac:dyDescent="0.2">
      <c r="GE1328"/>
      <c r="GF1328"/>
      <c r="GG1328"/>
      <c r="GH1328"/>
    </row>
    <row r="1329" spans="187:190" s="1" customFormat="1" ht="18" customHeight="1" x14ac:dyDescent="0.2">
      <c r="GE1329"/>
      <c r="GF1329"/>
      <c r="GG1329"/>
      <c r="GH1329"/>
    </row>
    <row r="1330" spans="187:190" s="1" customFormat="1" ht="18" customHeight="1" x14ac:dyDescent="0.2">
      <c r="GE1330"/>
      <c r="GF1330"/>
      <c r="GG1330"/>
      <c r="GH1330"/>
    </row>
    <row r="1331" spans="187:190" s="1" customFormat="1" ht="18" customHeight="1" x14ac:dyDescent="0.2">
      <c r="GE1331"/>
      <c r="GF1331"/>
      <c r="GG1331"/>
      <c r="GH1331"/>
    </row>
    <row r="1332" spans="187:190" s="1" customFormat="1" ht="18" customHeight="1" x14ac:dyDescent="0.2">
      <c r="GE1332"/>
      <c r="GF1332"/>
      <c r="GG1332"/>
      <c r="GH1332"/>
    </row>
    <row r="1333" spans="187:190" s="1" customFormat="1" ht="18" customHeight="1" x14ac:dyDescent="0.2">
      <c r="GE1333"/>
      <c r="GF1333"/>
      <c r="GG1333"/>
      <c r="GH1333"/>
    </row>
    <row r="1334" spans="187:190" s="1" customFormat="1" ht="18" customHeight="1" x14ac:dyDescent="0.2">
      <c r="GE1334"/>
      <c r="GF1334"/>
      <c r="GG1334"/>
      <c r="GH1334"/>
    </row>
    <row r="1335" spans="187:190" s="1" customFormat="1" ht="18" customHeight="1" x14ac:dyDescent="0.2">
      <c r="GE1335"/>
      <c r="GF1335"/>
      <c r="GG1335"/>
      <c r="GH1335"/>
    </row>
    <row r="1336" spans="187:190" s="1" customFormat="1" ht="18" customHeight="1" x14ac:dyDescent="0.2">
      <c r="GE1336"/>
      <c r="GF1336"/>
      <c r="GG1336"/>
      <c r="GH1336"/>
    </row>
    <row r="1337" spans="187:190" s="1" customFormat="1" ht="18" customHeight="1" x14ac:dyDescent="0.2">
      <c r="GE1337"/>
      <c r="GF1337"/>
      <c r="GG1337"/>
      <c r="GH1337"/>
    </row>
    <row r="1338" spans="187:190" s="1" customFormat="1" ht="18" customHeight="1" x14ac:dyDescent="0.2">
      <c r="GE1338"/>
      <c r="GF1338"/>
      <c r="GG1338"/>
      <c r="GH1338"/>
    </row>
    <row r="1339" spans="187:190" s="1" customFormat="1" ht="18" customHeight="1" x14ac:dyDescent="0.2">
      <c r="GE1339"/>
      <c r="GF1339"/>
      <c r="GG1339"/>
      <c r="GH1339"/>
    </row>
    <row r="1340" spans="187:190" s="1" customFormat="1" ht="18" customHeight="1" x14ac:dyDescent="0.2">
      <c r="GE1340"/>
      <c r="GF1340"/>
      <c r="GG1340"/>
      <c r="GH1340"/>
    </row>
    <row r="1341" spans="187:190" s="1" customFormat="1" ht="18" customHeight="1" x14ac:dyDescent="0.2">
      <c r="GE1341"/>
      <c r="GF1341"/>
      <c r="GG1341"/>
      <c r="GH1341"/>
    </row>
    <row r="1342" spans="187:190" s="1" customFormat="1" ht="18" customHeight="1" x14ac:dyDescent="0.2">
      <c r="GE1342"/>
      <c r="GF1342"/>
      <c r="GG1342"/>
      <c r="GH1342"/>
    </row>
    <row r="1343" spans="187:190" s="1" customFormat="1" ht="18" customHeight="1" x14ac:dyDescent="0.2">
      <c r="GE1343"/>
      <c r="GF1343"/>
      <c r="GG1343"/>
      <c r="GH1343"/>
    </row>
    <row r="1344" spans="187:190" s="1" customFormat="1" ht="18" customHeight="1" x14ac:dyDescent="0.2">
      <c r="GE1344"/>
      <c r="GF1344"/>
      <c r="GG1344"/>
      <c r="GH1344"/>
    </row>
    <row r="1345" spans="187:190" s="1" customFormat="1" ht="18" customHeight="1" x14ac:dyDescent="0.2">
      <c r="GE1345"/>
      <c r="GF1345"/>
      <c r="GG1345"/>
      <c r="GH1345"/>
    </row>
    <row r="1346" spans="187:190" s="1" customFormat="1" ht="18" customHeight="1" x14ac:dyDescent="0.2">
      <c r="GE1346"/>
      <c r="GF1346"/>
      <c r="GG1346"/>
      <c r="GH1346"/>
    </row>
    <row r="1347" spans="187:190" s="1" customFormat="1" ht="18" customHeight="1" x14ac:dyDescent="0.2">
      <c r="GE1347"/>
      <c r="GF1347"/>
      <c r="GG1347"/>
      <c r="GH1347"/>
    </row>
    <row r="1348" spans="187:190" s="1" customFormat="1" ht="18" customHeight="1" x14ac:dyDescent="0.2">
      <c r="GE1348"/>
      <c r="GF1348"/>
      <c r="GG1348"/>
      <c r="GH1348"/>
    </row>
    <row r="1349" spans="187:190" s="1" customFormat="1" ht="18" customHeight="1" x14ac:dyDescent="0.2">
      <c r="GE1349"/>
      <c r="GF1349"/>
      <c r="GG1349"/>
      <c r="GH1349"/>
    </row>
    <row r="1350" spans="187:190" s="1" customFormat="1" ht="18" customHeight="1" x14ac:dyDescent="0.2">
      <c r="GE1350"/>
      <c r="GF1350"/>
      <c r="GG1350"/>
      <c r="GH1350"/>
    </row>
    <row r="1351" spans="187:190" s="1" customFormat="1" ht="18" customHeight="1" x14ac:dyDescent="0.2">
      <c r="GE1351"/>
      <c r="GF1351"/>
      <c r="GG1351"/>
      <c r="GH1351"/>
    </row>
    <row r="1352" spans="187:190" s="1" customFormat="1" ht="18" customHeight="1" x14ac:dyDescent="0.2">
      <c r="GE1352"/>
      <c r="GF1352"/>
      <c r="GG1352"/>
      <c r="GH1352"/>
    </row>
    <row r="1353" spans="187:190" s="1" customFormat="1" ht="18" customHeight="1" x14ac:dyDescent="0.2">
      <c r="GE1353"/>
      <c r="GF1353"/>
      <c r="GG1353"/>
      <c r="GH1353"/>
    </row>
    <row r="1354" spans="187:190" s="1" customFormat="1" ht="18" customHeight="1" x14ac:dyDescent="0.2">
      <c r="GE1354"/>
      <c r="GF1354"/>
      <c r="GG1354"/>
      <c r="GH1354"/>
    </row>
    <row r="1355" spans="187:190" s="1" customFormat="1" ht="18" customHeight="1" x14ac:dyDescent="0.2">
      <c r="GE1355"/>
      <c r="GF1355"/>
      <c r="GG1355"/>
      <c r="GH1355"/>
    </row>
    <row r="1356" spans="187:190" s="1" customFormat="1" ht="18" customHeight="1" x14ac:dyDescent="0.2">
      <c r="GE1356"/>
      <c r="GF1356"/>
      <c r="GG1356"/>
      <c r="GH1356"/>
    </row>
    <row r="1357" spans="187:190" s="1" customFormat="1" ht="18" customHeight="1" x14ac:dyDescent="0.2">
      <c r="GE1357"/>
      <c r="GF1357"/>
      <c r="GG1357"/>
      <c r="GH1357"/>
    </row>
    <row r="1358" spans="187:190" s="1" customFormat="1" ht="18" customHeight="1" x14ac:dyDescent="0.2">
      <c r="GE1358"/>
      <c r="GF1358"/>
      <c r="GG1358"/>
      <c r="GH1358"/>
    </row>
    <row r="1359" spans="187:190" s="1" customFormat="1" ht="18" customHeight="1" x14ac:dyDescent="0.2">
      <c r="GE1359"/>
      <c r="GF1359"/>
      <c r="GG1359"/>
      <c r="GH1359"/>
    </row>
    <row r="1360" spans="187:190" s="1" customFormat="1" ht="18" customHeight="1" x14ac:dyDescent="0.2">
      <c r="GE1360"/>
      <c r="GF1360"/>
      <c r="GG1360"/>
      <c r="GH1360"/>
    </row>
    <row r="1361" spans="187:190" s="1" customFormat="1" ht="18" customHeight="1" x14ac:dyDescent="0.2">
      <c r="GE1361"/>
      <c r="GF1361"/>
      <c r="GG1361"/>
      <c r="GH1361"/>
    </row>
    <row r="1362" spans="187:190" s="1" customFormat="1" ht="18" customHeight="1" x14ac:dyDescent="0.2">
      <c r="GE1362"/>
      <c r="GF1362"/>
      <c r="GG1362"/>
      <c r="GH1362"/>
    </row>
    <row r="1363" spans="187:190" s="1" customFormat="1" ht="18" customHeight="1" x14ac:dyDescent="0.2">
      <c r="GE1363"/>
      <c r="GF1363"/>
      <c r="GG1363"/>
      <c r="GH1363"/>
    </row>
    <row r="1364" spans="187:190" s="1" customFormat="1" ht="18" customHeight="1" x14ac:dyDescent="0.2">
      <c r="GE1364"/>
      <c r="GF1364"/>
      <c r="GG1364"/>
      <c r="GH1364"/>
    </row>
    <row r="1365" spans="187:190" s="1" customFormat="1" ht="18" customHeight="1" x14ac:dyDescent="0.2">
      <c r="GE1365"/>
      <c r="GF1365"/>
      <c r="GG1365"/>
      <c r="GH1365"/>
    </row>
    <row r="1366" spans="187:190" s="1" customFormat="1" ht="18" customHeight="1" x14ac:dyDescent="0.2">
      <c r="GE1366"/>
      <c r="GF1366"/>
      <c r="GG1366"/>
      <c r="GH1366"/>
    </row>
    <row r="1367" spans="187:190" s="1" customFormat="1" ht="18" customHeight="1" x14ac:dyDescent="0.2">
      <c r="GE1367"/>
      <c r="GF1367"/>
      <c r="GG1367"/>
      <c r="GH1367"/>
    </row>
    <row r="1368" spans="187:190" s="1" customFormat="1" ht="18" customHeight="1" x14ac:dyDescent="0.2">
      <c r="GE1368"/>
      <c r="GF1368"/>
      <c r="GG1368"/>
      <c r="GH1368"/>
    </row>
    <row r="1369" spans="187:190" s="1" customFormat="1" ht="18" customHeight="1" x14ac:dyDescent="0.2">
      <c r="GE1369"/>
      <c r="GF1369"/>
      <c r="GG1369"/>
      <c r="GH1369"/>
    </row>
    <row r="1370" spans="187:190" s="1" customFormat="1" ht="18" customHeight="1" x14ac:dyDescent="0.2">
      <c r="GE1370"/>
      <c r="GF1370"/>
      <c r="GG1370"/>
      <c r="GH1370"/>
    </row>
    <row r="1371" spans="187:190" s="1" customFormat="1" ht="18" customHeight="1" x14ac:dyDescent="0.2">
      <c r="GE1371"/>
      <c r="GF1371"/>
      <c r="GG1371"/>
      <c r="GH1371"/>
    </row>
    <row r="1372" spans="187:190" s="1" customFormat="1" ht="18" customHeight="1" x14ac:dyDescent="0.2">
      <c r="GE1372"/>
      <c r="GF1372"/>
      <c r="GG1372"/>
      <c r="GH1372"/>
    </row>
    <row r="1373" spans="187:190" s="1" customFormat="1" ht="18" customHeight="1" x14ac:dyDescent="0.2">
      <c r="GE1373"/>
      <c r="GF1373"/>
      <c r="GG1373"/>
      <c r="GH1373"/>
    </row>
    <row r="1374" spans="187:190" s="1" customFormat="1" ht="18" customHeight="1" x14ac:dyDescent="0.2">
      <c r="GE1374"/>
      <c r="GF1374"/>
      <c r="GG1374"/>
      <c r="GH1374"/>
    </row>
    <row r="1375" spans="187:190" s="1" customFormat="1" ht="18" customHeight="1" x14ac:dyDescent="0.2">
      <c r="GE1375"/>
      <c r="GF1375"/>
      <c r="GG1375"/>
      <c r="GH1375"/>
    </row>
    <row r="1376" spans="187:190" s="1" customFormat="1" ht="18" customHeight="1" x14ac:dyDescent="0.2">
      <c r="GE1376"/>
      <c r="GF1376"/>
      <c r="GG1376"/>
      <c r="GH1376"/>
    </row>
    <row r="1377" spans="187:190" s="1" customFormat="1" ht="18" customHeight="1" x14ac:dyDescent="0.2">
      <c r="GE1377"/>
      <c r="GF1377"/>
      <c r="GG1377"/>
      <c r="GH1377"/>
    </row>
    <row r="1378" spans="187:190" s="1" customFormat="1" ht="18" customHeight="1" x14ac:dyDescent="0.2">
      <c r="GE1378"/>
      <c r="GF1378"/>
      <c r="GG1378"/>
      <c r="GH1378"/>
    </row>
    <row r="1379" spans="187:190" s="1" customFormat="1" ht="18" customHeight="1" x14ac:dyDescent="0.2">
      <c r="GE1379"/>
      <c r="GF1379"/>
      <c r="GG1379"/>
      <c r="GH1379"/>
    </row>
    <row r="1380" spans="187:190" s="1" customFormat="1" ht="18" customHeight="1" x14ac:dyDescent="0.2">
      <c r="GE1380"/>
      <c r="GF1380"/>
      <c r="GG1380"/>
      <c r="GH1380"/>
    </row>
    <row r="1381" spans="187:190" s="1" customFormat="1" ht="18" customHeight="1" x14ac:dyDescent="0.2">
      <c r="GE1381"/>
      <c r="GF1381"/>
      <c r="GG1381"/>
      <c r="GH1381"/>
    </row>
    <row r="1382" spans="187:190" s="1" customFormat="1" ht="18" customHeight="1" x14ac:dyDescent="0.2">
      <c r="GE1382"/>
      <c r="GF1382"/>
      <c r="GG1382"/>
      <c r="GH1382"/>
    </row>
    <row r="1383" spans="187:190" s="1" customFormat="1" ht="18" customHeight="1" x14ac:dyDescent="0.2">
      <c r="GE1383"/>
      <c r="GF1383"/>
      <c r="GG1383"/>
      <c r="GH1383"/>
    </row>
    <row r="1384" spans="187:190" s="1" customFormat="1" ht="18" customHeight="1" x14ac:dyDescent="0.2">
      <c r="GE1384"/>
      <c r="GF1384"/>
      <c r="GG1384"/>
      <c r="GH1384"/>
    </row>
    <row r="1385" spans="187:190" s="1" customFormat="1" ht="18" customHeight="1" x14ac:dyDescent="0.2">
      <c r="GE1385"/>
      <c r="GF1385"/>
      <c r="GG1385"/>
      <c r="GH1385"/>
    </row>
    <row r="1386" spans="187:190" s="1" customFormat="1" ht="18" customHeight="1" x14ac:dyDescent="0.2">
      <c r="GE1386"/>
      <c r="GF1386"/>
      <c r="GG1386"/>
      <c r="GH1386"/>
    </row>
    <row r="1387" spans="187:190" s="1" customFormat="1" ht="18" customHeight="1" x14ac:dyDescent="0.2">
      <c r="GE1387"/>
      <c r="GF1387"/>
      <c r="GG1387"/>
      <c r="GH1387"/>
    </row>
    <row r="1388" spans="187:190" s="1" customFormat="1" ht="18" customHeight="1" x14ac:dyDescent="0.2">
      <c r="GE1388"/>
      <c r="GF1388"/>
      <c r="GG1388"/>
      <c r="GH1388"/>
    </row>
    <row r="1389" spans="187:190" s="1" customFormat="1" ht="18" customHeight="1" x14ac:dyDescent="0.2">
      <c r="GE1389"/>
      <c r="GF1389"/>
      <c r="GG1389"/>
      <c r="GH1389"/>
    </row>
    <row r="1390" spans="187:190" s="1" customFormat="1" ht="18" customHeight="1" x14ac:dyDescent="0.2">
      <c r="GE1390"/>
      <c r="GF1390"/>
      <c r="GG1390"/>
      <c r="GH1390"/>
    </row>
    <row r="1391" spans="187:190" s="1" customFormat="1" ht="18" customHeight="1" x14ac:dyDescent="0.2">
      <c r="GE1391"/>
      <c r="GF1391"/>
      <c r="GG1391"/>
      <c r="GH1391"/>
    </row>
    <row r="1392" spans="187:190" s="1" customFormat="1" ht="18" customHeight="1" x14ac:dyDescent="0.2">
      <c r="GE1392"/>
      <c r="GF1392"/>
      <c r="GG1392"/>
      <c r="GH1392"/>
    </row>
    <row r="1393" spans="187:190" s="1" customFormat="1" ht="18" customHeight="1" x14ac:dyDescent="0.2">
      <c r="GE1393"/>
      <c r="GF1393"/>
      <c r="GG1393"/>
      <c r="GH1393"/>
    </row>
    <row r="1394" spans="187:190" s="1" customFormat="1" ht="18" customHeight="1" x14ac:dyDescent="0.2">
      <c r="GE1394"/>
      <c r="GF1394"/>
      <c r="GG1394"/>
      <c r="GH1394"/>
    </row>
    <row r="1395" spans="187:190" s="1" customFormat="1" ht="18" customHeight="1" x14ac:dyDescent="0.2">
      <c r="GE1395"/>
      <c r="GF1395"/>
      <c r="GG1395"/>
      <c r="GH1395"/>
    </row>
    <row r="1396" spans="187:190" s="1" customFormat="1" ht="18" customHeight="1" x14ac:dyDescent="0.2">
      <c r="GE1396"/>
      <c r="GF1396"/>
      <c r="GG1396"/>
      <c r="GH1396"/>
    </row>
    <row r="1397" spans="187:190" s="1" customFormat="1" ht="18" customHeight="1" x14ac:dyDescent="0.2">
      <c r="GE1397"/>
      <c r="GF1397"/>
      <c r="GG1397"/>
      <c r="GH1397"/>
    </row>
    <row r="1398" spans="187:190" s="1" customFormat="1" ht="18" customHeight="1" x14ac:dyDescent="0.2">
      <c r="GE1398"/>
      <c r="GF1398"/>
      <c r="GG1398"/>
      <c r="GH1398"/>
    </row>
    <row r="1399" spans="187:190" s="1" customFormat="1" ht="18" customHeight="1" x14ac:dyDescent="0.2">
      <c r="GE1399"/>
      <c r="GF1399"/>
      <c r="GG1399"/>
      <c r="GH1399"/>
    </row>
    <row r="1400" spans="187:190" s="1" customFormat="1" ht="18" customHeight="1" x14ac:dyDescent="0.2">
      <c r="GE1400"/>
      <c r="GF1400"/>
      <c r="GG1400"/>
      <c r="GH1400"/>
    </row>
    <row r="1401" spans="187:190" s="1" customFormat="1" ht="18" customHeight="1" x14ac:dyDescent="0.2">
      <c r="GE1401"/>
      <c r="GF1401"/>
      <c r="GG1401"/>
      <c r="GH1401"/>
    </row>
    <row r="1402" spans="187:190" s="1" customFormat="1" ht="18" customHeight="1" x14ac:dyDescent="0.2">
      <c r="GE1402"/>
      <c r="GF1402"/>
      <c r="GG1402"/>
      <c r="GH1402"/>
    </row>
    <row r="1403" spans="187:190" s="1" customFormat="1" ht="18" customHeight="1" x14ac:dyDescent="0.2">
      <c r="GE1403"/>
      <c r="GF1403"/>
      <c r="GG1403"/>
      <c r="GH1403"/>
    </row>
    <row r="1404" spans="187:190" s="1" customFormat="1" ht="18" customHeight="1" x14ac:dyDescent="0.2">
      <c r="GE1404"/>
      <c r="GF1404"/>
      <c r="GG1404"/>
      <c r="GH1404"/>
    </row>
    <row r="1405" spans="187:190" s="1" customFormat="1" ht="18" customHeight="1" x14ac:dyDescent="0.2">
      <c r="GE1405"/>
      <c r="GF1405"/>
      <c r="GG1405"/>
      <c r="GH1405"/>
    </row>
    <row r="1406" spans="187:190" s="1" customFormat="1" ht="18" customHeight="1" x14ac:dyDescent="0.2">
      <c r="GE1406"/>
      <c r="GF1406"/>
      <c r="GG1406"/>
      <c r="GH1406"/>
    </row>
    <row r="1407" spans="187:190" s="1" customFormat="1" ht="18" customHeight="1" x14ac:dyDescent="0.2">
      <c r="GE1407"/>
      <c r="GF1407"/>
      <c r="GG1407"/>
      <c r="GH1407"/>
    </row>
    <row r="1408" spans="187:190" s="1" customFormat="1" ht="18" customHeight="1" x14ac:dyDescent="0.2">
      <c r="GE1408"/>
      <c r="GF1408"/>
      <c r="GG1408"/>
      <c r="GH1408"/>
    </row>
    <row r="1409" spans="187:190" s="1" customFormat="1" ht="18" customHeight="1" x14ac:dyDescent="0.2">
      <c r="GE1409"/>
      <c r="GF1409"/>
      <c r="GG1409"/>
      <c r="GH1409"/>
    </row>
    <row r="1410" spans="187:190" s="1" customFormat="1" ht="18" customHeight="1" x14ac:dyDescent="0.2">
      <c r="GE1410"/>
      <c r="GF1410"/>
      <c r="GG1410"/>
      <c r="GH1410"/>
    </row>
    <row r="1411" spans="187:190" s="1" customFormat="1" ht="18" customHeight="1" x14ac:dyDescent="0.2">
      <c r="GE1411"/>
      <c r="GF1411"/>
      <c r="GG1411"/>
      <c r="GH1411"/>
    </row>
    <row r="1412" spans="187:190" s="1" customFormat="1" ht="18" customHeight="1" x14ac:dyDescent="0.2">
      <c r="GE1412"/>
      <c r="GF1412"/>
      <c r="GG1412"/>
      <c r="GH1412"/>
    </row>
    <row r="1413" spans="187:190" s="1" customFormat="1" ht="18" customHeight="1" x14ac:dyDescent="0.2">
      <c r="GE1413"/>
      <c r="GF1413"/>
      <c r="GG1413"/>
      <c r="GH1413"/>
    </row>
    <row r="1414" spans="187:190" s="1" customFormat="1" ht="18" customHeight="1" x14ac:dyDescent="0.2">
      <c r="GE1414"/>
      <c r="GF1414"/>
      <c r="GG1414"/>
      <c r="GH1414"/>
    </row>
    <row r="1415" spans="187:190" s="1" customFormat="1" ht="18" customHeight="1" x14ac:dyDescent="0.2">
      <c r="GE1415"/>
      <c r="GF1415"/>
      <c r="GG1415"/>
      <c r="GH1415"/>
    </row>
    <row r="1416" spans="187:190" s="1" customFormat="1" ht="18" customHeight="1" x14ac:dyDescent="0.2">
      <c r="GE1416"/>
      <c r="GF1416"/>
      <c r="GG1416"/>
      <c r="GH1416"/>
    </row>
    <row r="1417" spans="187:190" s="1" customFormat="1" ht="18" customHeight="1" x14ac:dyDescent="0.2">
      <c r="GE1417"/>
      <c r="GF1417"/>
      <c r="GG1417"/>
      <c r="GH1417"/>
    </row>
    <row r="1418" spans="187:190" s="1" customFormat="1" ht="18" customHeight="1" x14ac:dyDescent="0.2">
      <c r="GE1418"/>
      <c r="GF1418"/>
      <c r="GG1418"/>
      <c r="GH1418"/>
    </row>
    <row r="1419" spans="187:190" s="1" customFormat="1" ht="18" customHeight="1" x14ac:dyDescent="0.2">
      <c r="GE1419"/>
      <c r="GF1419"/>
      <c r="GG1419"/>
      <c r="GH1419"/>
    </row>
    <row r="1420" spans="187:190" s="1" customFormat="1" ht="18" customHeight="1" x14ac:dyDescent="0.2">
      <c r="GE1420"/>
      <c r="GF1420"/>
      <c r="GG1420"/>
      <c r="GH1420"/>
    </row>
    <row r="1421" spans="187:190" s="1" customFormat="1" ht="18" customHeight="1" x14ac:dyDescent="0.2">
      <c r="GE1421"/>
      <c r="GF1421"/>
      <c r="GG1421"/>
      <c r="GH1421"/>
    </row>
    <row r="1422" spans="187:190" s="1" customFormat="1" ht="18" customHeight="1" x14ac:dyDescent="0.2">
      <c r="GE1422"/>
      <c r="GF1422"/>
      <c r="GG1422"/>
      <c r="GH1422"/>
    </row>
    <row r="1423" spans="187:190" s="1" customFormat="1" ht="18" customHeight="1" x14ac:dyDescent="0.2">
      <c r="GE1423"/>
      <c r="GF1423"/>
      <c r="GG1423"/>
      <c r="GH1423"/>
    </row>
    <row r="1424" spans="187:190" s="1" customFormat="1" ht="18" customHeight="1" x14ac:dyDescent="0.2">
      <c r="GE1424"/>
      <c r="GF1424"/>
      <c r="GG1424"/>
      <c r="GH1424"/>
    </row>
    <row r="1425" spans="187:190" s="1" customFormat="1" ht="18" customHeight="1" x14ac:dyDescent="0.2">
      <c r="GE1425"/>
      <c r="GF1425"/>
      <c r="GG1425"/>
      <c r="GH1425"/>
    </row>
    <row r="1426" spans="187:190" s="1" customFormat="1" ht="18" customHeight="1" x14ac:dyDescent="0.2">
      <c r="GE1426"/>
      <c r="GF1426"/>
      <c r="GG1426"/>
      <c r="GH1426"/>
    </row>
    <row r="1427" spans="187:190" s="1" customFormat="1" ht="18" customHeight="1" x14ac:dyDescent="0.2">
      <c r="GE1427"/>
      <c r="GF1427"/>
      <c r="GG1427"/>
      <c r="GH1427"/>
    </row>
    <row r="1428" spans="187:190" s="1" customFormat="1" ht="18" customHeight="1" x14ac:dyDescent="0.2">
      <c r="GE1428"/>
      <c r="GF1428"/>
      <c r="GG1428"/>
      <c r="GH1428"/>
    </row>
    <row r="1429" spans="187:190" s="1" customFormat="1" ht="18" customHeight="1" x14ac:dyDescent="0.2">
      <c r="GE1429"/>
      <c r="GF1429"/>
      <c r="GG1429"/>
      <c r="GH1429"/>
    </row>
    <row r="1430" spans="187:190" s="1" customFormat="1" ht="18" customHeight="1" x14ac:dyDescent="0.2">
      <c r="GE1430"/>
      <c r="GF1430"/>
      <c r="GG1430"/>
      <c r="GH1430"/>
    </row>
    <row r="1431" spans="187:190" s="1" customFormat="1" ht="18" customHeight="1" x14ac:dyDescent="0.2">
      <c r="GE1431"/>
      <c r="GF1431"/>
      <c r="GG1431"/>
      <c r="GH1431"/>
    </row>
    <row r="1432" spans="187:190" s="1" customFormat="1" ht="18" customHeight="1" x14ac:dyDescent="0.2">
      <c r="GE1432"/>
      <c r="GF1432"/>
      <c r="GG1432"/>
      <c r="GH1432"/>
    </row>
    <row r="1433" spans="187:190" s="1" customFormat="1" ht="18" customHeight="1" x14ac:dyDescent="0.2">
      <c r="GE1433"/>
      <c r="GF1433"/>
      <c r="GG1433"/>
      <c r="GH1433"/>
    </row>
    <row r="1434" spans="187:190" s="1" customFormat="1" ht="18" customHeight="1" x14ac:dyDescent="0.2">
      <c r="GE1434"/>
      <c r="GF1434"/>
      <c r="GG1434"/>
      <c r="GH1434"/>
    </row>
    <row r="1435" spans="187:190" s="1" customFormat="1" ht="18" customHeight="1" x14ac:dyDescent="0.2">
      <c r="GE1435"/>
      <c r="GF1435"/>
      <c r="GG1435"/>
      <c r="GH1435"/>
    </row>
    <row r="1436" spans="187:190" s="1" customFormat="1" ht="18" customHeight="1" x14ac:dyDescent="0.2">
      <c r="GE1436"/>
      <c r="GF1436"/>
      <c r="GG1436"/>
      <c r="GH1436"/>
    </row>
    <row r="1437" spans="187:190" s="1" customFormat="1" ht="18" customHeight="1" x14ac:dyDescent="0.2">
      <c r="GE1437"/>
      <c r="GF1437"/>
      <c r="GG1437"/>
      <c r="GH1437"/>
    </row>
    <row r="1438" spans="187:190" s="1" customFormat="1" ht="18" customHeight="1" x14ac:dyDescent="0.2">
      <c r="GE1438"/>
      <c r="GF1438"/>
      <c r="GG1438"/>
      <c r="GH1438"/>
    </row>
    <row r="1439" spans="187:190" s="1" customFormat="1" ht="18" customHeight="1" x14ac:dyDescent="0.2">
      <c r="GE1439"/>
      <c r="GF1439"/>
      <c r="GG1439"/>
      <c r="GH1439"/>
    </row>
    <row r="1440" spans="187:190" s="1" customFormat="1" ht="18" customHeight="1" x14ac:dyDescent="0.2">
      <c r="GE1440"/>
      <c r="GF1440"/>
      <c r="GG1440"/>
      <c r="GH1440"/>
    </row>
    <row r="1441" spans="187:190" s="1" customFormat="1" ht="18" customHeight="1" x14ac:dyDescent="0.2">
      <c r="GE1441"/>
      <c r="GF1441"/>
      <c r="GG1441"/>
      <c r="GH1441"/>
    </row>
    <row r="1442" spans="187:190" s="1" customFormat="1" ht="18" customHeight="1" x14ac:dyDescent="0.2">
      <c r="GE1442"/>
      <c r="GF1442"/>
      <c r="GG1442"/>
      <c r="GH1442"/>
    </row>
    <row r="1443" spans="187:190" s="1" customFormat="1" ht="18" customHeight="1" x14ac:dyDescent="0.2">
      <c r="GE1443"/>
      <c r="GF1443"/>
      <c r="GG1443"/>
      <c r="GH1443"/>
    </row>
    <row r="1444" spans="187:190" s="1" customFormat="1" ht="18" customHeight="1" x14ac:dyDescent="0.2">
      <c r="GE1444"/>
      <c r="GF1444"/>
      <c r="GG1444"/>
      <c r="GH1444"/>
    </row>
    <row r="1445" spans="187:190" s="1" customFormat="1" ht="18" customHeight="1" x14ac:dyDescent="0.2">
      <c r="GE1445"/>
      <c r="GF1445"/>
      <c r="GG1445"/>
      <c r="GH1445"/>
    </row>
    <row r="1446" spans="187:190" s="1" customFormat="1" ht="18" customHeight="1" x14ac:dyDescent="0.2">
      <c r="GE1446"/>
      <c r="GF1446"/>
      <c r="GG1446"/>
      <c r="GH1446"/>
    </row>
    <row r="1447" spans="187:190" s="1" customFormat="1" ht="18" customHeight="1" x14ac:dyDescent="0.2">
      <c r="GE1447"/>
      <c r="GF1447"/>
      <c r="GG1447"/>
      <c r="GH1447"/>
    </row>
    <row r="1448" spans="187:190" s="1" customFormat="1" ht="18" customHeight="1" x14ac:dyDescent="0.2">
      <c r="GE1448"/>
      <c r="GF1448"/>
      <c r="GG1448"/>
      <c r="GH1448"/>
    </row>
    <row r="1449" spans="187:190" s="1" customFormat="1" ht="18" customHeight="1" x14ac:dyDescent="0.2">
      <c r="GE1449"/>
      <c r="GF1449"/>
      <c r="GG1449"/>
      <c r="GH1449"/>
    </row>
    <row r="1450" spans="187:190" s="1" customFormat="1" ht="18" customHeight="1" x14ac:dyDescent="0.2">
      <c r="GE1450"/>
      <c r="GF1450"/>
      <c r="GG1450"/>
      <c r="GH1450"/>
    </row>
    <row r="1451" spans="187:190" s="1" customFormat="1" ht="18" customHeight="1" x14ac:dyDescent="0.2">
      <c r="GE1451"/>
      <c r="GF1451"/>
      <c r="GG1451"/>
      <c r="GH1451"/>
    </row>
    <row r="1452" spans="187:190" s="1" customFormat="1" ht="18" customHeight="1" x14ac:dyDescent="0.2">
      <c r="GE1452"/>
      <c r="GF1452"/>
      <c r="GG1452"/>
      <c r="GH1452"/>
    </row>
    <row r="1453" spans="187:190" s="1" customFormat="1" ht="18" customHeight="1" x14ac:dyDescent="0.2">
      <c r="GE1453"/>
      <c r="GF1453"/>
      <c r="GG1453"/>
      <c r="GH1453"/>
    </row>
    <row r="1454" spans="187:190" s="1" customFormat="1" ht="18" customHeight="1" x14ac:dyDescent="0.2">
      <c r="GE1454"/>
      <c r="GF1454"/>
      <c r="GG1454"/>
      <c r="GH1454"/>
    </row>
    <row r="1455" spans="187:190" s="1" customFormat="1" ht="18" customHeight="1" x14ac:dyDescent="0.2">
      <c r="GE1455"/>
      <c r="GF1455"/>
      <c r="GG1455"/>
      <c r="GH1455"/>
    </row>
    <row r="1456" spans="187:190" s="1" customFormat="1" ht="18" customHeight="1" x14ac:dyDescent="0.2">
      <c r="GE1456"/>
      <c r="GF1456"/>
      <c r="GG1456"/>
      <c r="GH1456"/>
    </row>
    <row r="1457" spans="187:190" s="1" customFormat="1" ht="18" customHeight="1" x14ac:dyDescent="0.2">
      <c r="GE1457"/>
      <c r="GF1457"/>
      <c r="GG1457"/>
      <c r="GH1457"/>
    </row>
    <row r="1458" spans="187:190" s="1" customFormat="1" ht="18" customHeight="1" x14ac:dyDescent="0.2">
      <c r="GE1458"/>
      <c r="GF1458"/>
      <c r="GG1458"/>
      <c r="GH1458"/>
    </row>
    <row r="1459" spans="187:190" s="1" customFormat="1" ht="18" customHeight="1" x14ac:dyDescent="0.2">
      <c r="GE1459"/>
      <c r="GF1459"/>
      <c r="GG1459"/>
      <c r="GH1459"/>
    </row>
    <row r="1460" spans="187:190" s="1" customFormat="1" ht="18" customHeight="1" x14ac:dyDescent="0.2">
      <c r="GE1460"/>
      <c r="GF1460"/>
      <c r="GG1460"/>
      <c r="GH1460"/>
    </row>
    <row r="1461" spans="187:190" s="1" customFormat="1" ht="18" customHeight="1" x14ac:dyDescent="0.2">
      <c r="GE1461"/>
      <c r="GF1461"/>
      <c r="GG1461"/>
      <c r="GH1461"/>
    </row>
    <row r="1462" spans="187:190" s="1" customFormat="1" ht="18" customHeight="1" x14ac:dyDescent="0.2">
      <c r="GE1462"/>
      <c r="GF1462"/>
      <c r="GG1462"/>
      <c r="GH1462"/>
    </row>
    <row r="1463" spans="187:190" s="1" customFormat="1" ht="18" customHeight="1" x14ac:dyDescent="0.2">
      <c r="GE1463"/>
      <c r="GF1463"/>
      <c r="GG1463"/>
      <c r="GH1463"/>
    </row>
    <row r="1464" spans="187:190" s="1" customFormat="1" ht="18" customHeight="1" x14ac:dyDescent="0.2">
      <c r="GE1464"/>
      <c r="GF1464"/>
      <c r="GG1464"/>
      <c r="GH1464"/>
    </row>
    <row r="1465" spans="187:190" s="1" customFormat="1" ht="18" customHeight="1" x14ac:dyDescent="0.2">
      <c r="GE1465"/>
      <c r="GF1465"/>
      <c r="GG1465"/>
      <c r="GH1465"/>
    </row>
    <row r="1466" spans="187:190" s="1" customFormat="1" ht="18" customHeight="1" x14ac:dyDescent="0.2">
      <c r="GE1466"/>
      <c r="GF1466"/>
      <c r="GG1466"/>
      <c r="GH1466"/>
    </row>
    <row r="1467" spans="187:190" s="1" customFormat="1" ht="18" customHeight="1" x14ac:dyDescent="0.2">
      <c r="GE1467"/>
      <c r="GF1467"/>
      <c r="GG1467"/>
      <c r="GH1467"/>
    </row>
    <row r="1468" spans="187:190" s="1" customFormat="1" ht="18" customHeight="1" x14ac:dyDescent="0.2">
      <c r="GE1468"/>
      <c r="GF1468"/>
      <c r="GG1468"/>
      <c r="GH1468"/>
    </row>
    <row r="1469" spans="187:190" s="1" customFormat="1" ht="18" customHeight="1" x14ac:dyDescent="0.2">
      <c r="GE1469"/>
      <c r="GF1469"/>
      <c r="GG1469"/>
      <c r="GH1469"/>
    </row>
    <row r="1470" spans="187:190" s="1" customFormat="1" ht="18" customHeight="1" x14ac:dyDescent="0.2">
      <c r="GE1470"/>
      <c r="GF1470"/>
      <c r="GG1470"/>
      <c r="GH1470"/>
    </row>
    <row r="1471" spans="187:190" s="1" customFormat="1" ht="18" customHeight="1" x14ac:dyDescent="0.2">
      <c r="GE1471"/>
      <c r="GF1471"/>
      <c r="GG1471"/>
      <c r="GH1471"/>
    </row>
    <row r="1472" spans="187:190" s="1" customFormat="1" ht="18" customHeight="1" x14ac:dyDescent="0.2">
      <c r="GE1472"/>
      <c r="GF1472"/>
      <c r="GG1472"/>
      <c r="GH1472"/>
    </row>
    <row r="1473" spans="187:190" s="1" customFormat="1" ht="18" customHeight="1" x14ac:dyDescent="0.2">
      <c r="GE1473"/>
      <c r="GF1473"/>
      <c r="GG1473"/>
      <c r="GH1473"/>
    </row>
    <row r="1474" spans="187:190" s="1" customFormat="1" ht="18" customHeight="1" x14ac:dyDescent="0.2">
      <c r="GE1474"/>
      <c r="GF1474"/>
      <c r="GG1474"/>
      <c r="GH1474"/>
    </row>
    <row r="1475" spans="187:190" s="1" customFormat="1" ht="18" customHeight="1" x14ac:dyDescent="0.2">
      <c r="GE1475"/>
      <c r="GF1475"/>
      <c r="GG1475"/>
      <c r="GH1475"/>
    </row>
    <row r="1476" spans="187:190" s="1" customFormat="1" ht="18" customHeight="1" x14ac:dyDescent="0.2">
      <c r="GE1476"/>
      <c r="GF1476"/>
      <c r="GG1476"/>
      <c r="GH1476"/>
    </row>
    <row r="1477" spans="187:190" s="1" customFormat="1" ht="18" customHeight="1" x14ac:dyDescent="0.2">
      <c r="GE1477"/>
      <c r="GF1477"/>
      <c r="GG1477"/>
      <c r="GH1477"/>
    </row>
    <row r="1478" spans="187:190" s="1" customFormat="1" ht="18" customHeight="1" x14ac:dyDescent="0.2">
      <c r="GE1478"/>
      <c r="GF1478"/>
      <c r="GG1478"/>
      <c r="GH1478"/>
    </row>
    <row r="1479" spans="187:190" s="1" customFormat="1" ht="18" customHeight="1" x14ac:dyDescent="0.2">
      <c r="GE1479"/>
      <c r="GF1479"/>
      <c r="GG1479"/>
      <c r="GH1479"/>
    </row>
    <row r="1480" spans="187:190" s="1" customFormat="1" ht="18" customHeight="1" x14ac:dyDescent="0.2">
      <c r="GE1480"/>
      <c r="GF1480"/>
      <c r="GG1480"/>
      <c r="GH1480"/>
    </row>
    <row r="1481" spans="187:190" s="1" customFormat="1" ht="18" customHeight="1" x14ac:dyDescent="0.2">
      <c r="GE1481"/>
      <c r="GF1481"/>
      <c r="GG1481"/>
      <c r="GH1481"/>
    </row>
    <row r="1482" spans="187:190" s="1" customFormat="1" ht="18" customHeight="1" x14ac:dyDescent="0.2">
      <c r="GE1482"/>
      <c r="GF1482"/>
      <c r="GG1482"/>
      <c r="GH1482"/>
    </row>
    <row r="1483" spans="187:190" s="1" customFormat="1" ht="18" customHeight="1" x14ac:dyDescent="0.2">
      <c r="GE1483"/>
      <c r="GF1483"/>
      <c r="GG1483"/>
      <c r="GH1483"/>
    </row>
    <row r="1484" spans="187:190" s="1" customFormat="1" ht="18" customHeight="1" x14ac:dyDescent="0.2">
      <c r="GE1484"/>
      <c r="GF1484"/>
      <c r="GG1484"/>
      <c r="GH1484"/>
    </row>
    <row r="1485" spans="187:190" s="1" customFormat="1" ht="18" customHeight="1" x14ac:dyDescent="0.2">
      <c r="GE1485"/>
      <c r="GF1485"/>
      <c r="GG1485"/>
      <c r="GH1485"/>
    </row>
    <row r="1486" spans="187:190" s="1" customFormat="1" ht="18" customHeight="1" x14ac:dyDescent="0.2">
      <c r="GE1486"/>
      <c r="GF1486"/>
      <c r="GG1486"/>
      <c r="GH1486"/>
    </row>
    <row r="1487" spans="187:190" s="1" customFormat="1" ht="18" customHeight="1" x14ac:dyDescent="0.2">
      <c r="GE1487"/>
      <c r="GF1487"/>
      <c r="GG1487"/>
      <c r="GH1487"/>
    </row>
    <row r="1488" spans="187:190" s="1" customFormat="1" ht="18" customHeight="1" x14ac:dyDescent="0.2">
      <c r="GE1488"/>
      <c r="GF1488"/>
      <c r="GG1488"/>
      <c r="GH1488"/>
    </row>
    <row r="1489" spans="187:190" s="1" customFormat="1" ht="18" customHeight="1" x14ac:dyDescent="0.2">
      <c r="GE1489"/>
      <c r="GF1489"/>
      <c r="GG1489"/>
      <c r="GH1489"/>
    </row>
    <row r="1490" spans="187:190" s="1" customFormat="1" ht="18" customHeight="1" x14ac:dyDescent="0.2">
      <c r="GE1490"/>
      <c r="GF1490"/>
      <c r="GG1490"/>
      <c r="GH1490"/>
    </row>
    <row r="1491" spans="187:190" s="1" customFormat="1" ht="18" customHeight="1" x14ac:dyDescent="0.2">
      <c r="GE1491"/>
      <c r="GF1491"/>
      <c r="GG1491"/>
      <c r="GH1491"/>
    </row>
    <row r="1492" spans="187:190" s="1" customFormat="1" ht="18" customHeight="1" x14ac:dyDescent="0.2">
      <c r="GE1492"/>
      <c r="GF1492"/>
      <c r="GG1492"/>
      <c r="GH1492"/>
    </row>
    <row r="1493" spans="187:190" s="1" customFormat="1" ht="18" customHeight="1" x14ac:dyDescent="0.2">
      <c r="GE1493"/>
      <c r="GF1493"/>
      <c r="GG1493"/>
      <c r="GH1493"/>
    </row>
    <row r="1494" spans="187:190" s="1" customFormat="1" ht="18" customHeight="1" x14ac:dyDescent="0.2">
      <c r="GE1494"/>
      <c r="GF1494"/>
      <c r="GG1494"/>
      <c r="GH1494"/>
    </row>
    <row r="1495" spans="187:190" s="1" customFormat="1" ht="18" customHeight="1" x14ac:dyDescent="0.2">
      <c r="GE1495"/>
      <c r="GF1495"/>
      <c r="GG1495"/>
      <c r="GH1495"/>
    </row>
    <row r="1496" spans="187:190" s="1" customFormat="1" ht="18" customHeight="1" x14ac:dyDescent="0.2">
      <c r="GE1496"/>
      <c r="GF1496"/>
      <c r="GG1496"/>
      <c r="GH1496"/>
    </row>
    <row r="1497" spans="187:190" s="1" customFormat="1" ht="18" customHeight="1" x14ac:dyDescent="0.2">
      <c r="GE1497"/>
      <c r="GF1497"/>
      <c r="GG1497"/>
      <c r="GH1497"/>
    </row>
    <row r="1498" spans="187:190" s="1" customFormat="1" ht="18" customHeight="1" x14ac:dyDescent="0.2">
      <c r="GE1498"/>
      <c r="GF1498"/>
      <c r="GG1498"/>
      <c r="GH1498"/>
    </row>
    <row r="1499" spans="187:190" s="1" customFormat="1" ht="18" customHeight="1" x14ac:dyDescent="0.2">
      <c r="GE1499"/>
      <c r="GF1499"/>
      <c r="GG1499"/>
      <c r="GH1499"/>
    </row>
    <row r="1500" spans="187:190" s="1" customFormat="1" ht="18" customHeight="1" x14ac:dyDescent="0.2">
      <c r="GE1500"/>
      <c r="GF1500"/>
      <c r="GG1500"/>
      <c r="GH1500"/>
    </row>
    <row r="1501" spans="187:190" s="1" customFormat="1" ht="18" customHeight="1" x14ac:dyDescent="0.2">
      <c r="GE1501"/>
      <c r="GF1501"/>
      <c r="GG1501"/>
      <c r="GH1501"/>
    </row>
    <row r="1502" spans="187:190" s="1" customFormat="1" ht="18" customHeight="1" x14ac:dyDescent="0.2">
      <c r="GE1502"/>
      <c r="GF1502"/>
      <c r="GG1502"/>
      <c r="GH1502"/>
    </row>
    <row r="1503" spans="187:190" s="1" customFormat="1" ht="18" customHeight="1" x14ac:dyDescent="0.2">
      <c r="GE1503"/>
      <c r="GF1503"/>
      <c r="GG1503"/>
      <c r="GH1503"/>
    </row>
    <row r="1504" spans="187:190" s="1" customFormat="1" ht="18" customHeight="1" x14ac:dyDescent="0.2">
      <c r="GE1504"/>
      <c r="GF1504"/>
      <c r="GG1504"/>
      <c r="GH1504"/>
    </row>
    <row r="1505" spans="187:190" s="1" customFormat="1" ht="18" customHeight="1" x14ac:dyDescent="0.2">
      <c r="GE1505"/>
      <c r="GF1505"/>
      <c r="GG1505"/>
      <c r="GH1505"/>
    </row>
    <row r="1506" spans="187:190" s="1" customFormat="1" ht="18" customHeight="1" x14ac:dyDescent="0.2">
      <c r="GE1506"/>
      <c r="GF1506"/>
      <c r="GG1506"/>
      <c r="GH1506"/>
    </row>
    <row r="1507" spans="187:190" s="1" customFormat="1" ht="18" customHeight="1" x14ac:dyDescent="0.2">
      <c r="GE1507"/>
      <c r="GF1507"/>
      <c r="GG1507"/>
      <c r="GH1507"/>
    </row>
    <row r="1508" spans="187:190" s="1" customFormat="1" ht="18" customHeight="1" x14ac:dyDescent="0.2">
      <c r="GE1508"/>
      <c r="GF1508"/>
      <c r="GG1508"/>
      <c r="GH1508"/>
    </row>
    <row r="1509" spans="187:190" s="1" customFormat="1" ht="18" customHeight="1" x14ac:dyDescent="0.2">
      <c r="GE1509"/>
      <c r="GF1509"/>
      <c r="GG1509"/>
      <c r="GH1509"/>
    </row>
    <row r="1510" spans="187:190" s="1" customFormat="1" ht="18" customHeight="1" x14ac:dyDescent="0.2">
      <c r="GE1510"/>
      <c r="GF1510"/>
      <c r="GG1510"/>
      <c r="GH1510"/>
    </row>
    <row r="1511" spans="187:190" s="1" customFormat="1" ht="18" customHeight="1" x14ac:dyDescent="0.2">
      <c r="GE1511"/>
      <c r="GF1511"/>
      <c r="GG1511"/>
      <c r="GH1511"/>
    </row>
    <row r="1512" spans="187:190" s="1" customFormat="1" ht="18" customHeight="1" x14ac:dyDescent="0.2">
      <c r="GE1512"/>
      <c r="GF1512"/>
      <c r="GG1512"/>
      <c r="GH1512"/>
    </row>
    <row r="1513" spans="187:190" s="1" customFormat="1" ht="18" customHeight="1" x14ac:dyDescent="0.2">
      <c r="GE1513"/>
      <c r="GF1513"/>
      <c r="GG1513"/>
      <c r="GH1513"/>
    </row>
    <row r="1514" spans="187:190" s="1" customFormat="1" ht="18" customHeight="1" x14ac:dyDescent="0.2">
      <c r="GE1514"/>
      <c r="GF1514"/>
      <c r="GG1514"/>
      <c r="GH1514"/>
    </row>
    <row r="1515" spans="187:190" s="1" customFormat="1" ht="18" customHeight="1" x14ac:dyDescent="0.2">
      <c r="GE1515"/>
      <c r="GF1515"/>
      <c r="GG1515"/>
      <c r="GH1515"/>
    </row>
    <row r="1516" spans="187:190" s="1" customFormat="1" ht="18" customHeight="1" x14ac:dyDescent="0.2">
      <c r="GE1516"/>
      <c r="GF1516"/>
      <c r="GG1516"/>
      <c r="GH1516"/>
    </row>
    <row r="1517" spans="187:190" s="1" customFormat="1" ht="18" customHeight="1" x14ac:dyDescent="0.2">
      <c r="GE1517"/>
      <c r="GF1517"/>
      <c r="GG1517"/>
      <c r="GH1517"/>
    </row>
    <row r="1518" spans="187:190" s="1" customFormat="1" ht="18" customHeight="1" x14ac:dyDescent="0.2">
      <c r="GE1518"/>
      <c r="GF1518"/>
      <c r="GG1518"/>
      <c r="GH1518"/>
    </row>
    <row r="1519" spans="187:190" s="1" customFormat="1" ht="18" customHeight="1" x14ac:dyDescent="0.2">
      <c r="GE1519"/>
      <c r="GF1519"/>
      <c r="GG1519"/>
      <c r="GH1519"/>
    </row>
    <row r="1520" spans="187:190" s="1" customFormat="1" ht="18" customHeight="1" x14ac:dyDescent="0.2">
      <c r="GE1520"/>
      <c r="GF1520"/>
      <c r="GG1520"/>
      <c r="GH1520"/>
    </row>
    <row r="1521" spans="187:190" s="1" customFormat="1" ht="18" customHeight="1" x14ac:dyDescent="0.2">
      <c r="GE1521"/>
      <c r="GF1521"/>
      <c r="GG1521"/>
      <c r="GH1521"/>
    </row>
    <row r="1522" spans="187:190" s="1" customFormat="1" ht="18" customHeight="1" x14ac:dyDescent="0.2">
      <c r="GE1522"/>
      <c r="GF1522"/>
      <c r="GG1522"/>
      <c r="GH1522"/>
    </row>
    <row r="1523" spans="187:190" s="1" customFormat="1" ht="18" customHeight="1" x14ac:dyDescent="0.2">
      <c r="GE1523"/>
      <c r="GF1523"/>
      <c r="GG1523"/>
      <c r="GH1523"/>
    </row>
    <row r="1524" spans="187:190" s="1" customFormat="1" ht="18" customHeight="1" x14ac:dyDescent="0.2">
      <c r="GE1524"/>
      <c r="GF1524"/>
      <c r="GG1524"/>
      <c r="GH1524"/>
    </row>
    <row r="1525" spans="187:190" s="1" customFormat="1" ht="18" customHeight="1" x14ac:dyDescent="0.2">
      <c r="GE1525"/>
      <c r="GF1525"/>
      <c r="GG1525"/>
      <c r="GH1525"/>
    </row>
    <row r="1526" spans="187:190" s="1" customFormat="1" ht="18" customHeight="1" x14ac:dyDescent="0.2">
      <c r="GE1526"/>
      <c r="GF1526"/>
      <c r="GG1526"/>
      <c r="GH1526"/>
    </row>
    <row r="1527" spans="187:190" s="1" customFormat="1" ht="18" customHeight="1" x14ac:dyDescent="0.2">
      <c r="GE1527"/>
      <c r="GF1527"/>
      <c r="GG1527"/>
      <c r="GH1527"/>
    </row>
    <row r="1528" spans="187:190" s="1" customFormat="1" ht="18" customHeight="1" x14ac:dyDescent="0.2">
      <c r="GE1528"/>
      <c r="GF1528"/>
      <c r="GG1528"/>
      <c r="GH1528"/>
    </row>
    <row r="1529" spans="187:190" s="1" customFormat="1" ht="18" customHeight="1" x14ac:dyDescent="0.2">
      <c r="GE1529"/>
      <c r="GF1529"/>
      <c r="GG1529"/>
      <c r="GH1529"/>
    </row>
    <row r="1530" spans="187:190" s="1" customFormat="1" ht="18" customHeight="1" x14ac:dyDescent="0.2">
      <c r="GE1530"/>
      <c r="GF1530"/>
      <c r="GG1530"/>
      <c r="GH1530"/>
    </row>
    <row r="1531" spans="187:190" s="1" customFormat="1" ht="18" customHeight="1" x14ac:dyDescent="0.2">
      <c r="GE1531"/>
      <c r="GF1531"/>
      <c r="GG1531"/>
      <c r="GH1531"/>
    </row>
    <row r="1532" spans="187:190" s="1" customFormat="1" ht="18" customHeight="1" x14ac:dyDescent="0.2">
      <c r="GE1532"/>
      <c r="GF1532"/>
      <c r="GG1532"/>
      <c r="GH1532"/>
    </row>
    <row r="1533" spans="187:190" s="1" customFormat="1" ht="18" customHeight="1" x14ac:dyDescent="0.2">
      <c r="GE1533"/>
      <c r="GF1533"/>
      <c r="GG1533"/>
      <c r="GH1533"/>
    </row>
    <row r="1534" spans="187:190" s="1" customFormat="1" ht="18" customHeight="1" x14ac:dyDescent="0.2">
      <c r="GE1534"/>
      <c r="GF1534"/>
      <c r="GG1534"/>
      <c r="GH1534"/>
    </row>
    <row r="1535" spans="187:190" s="1" customFormat="1" ht="18" customHeight="1" x14ac:dyDescent="0.2">
      <c r="GE1535"/>
      <c r="GF1535"/>
      <c r="GG1535"/>
      <c r="GH1535"/>
    </row>
    <row r="1536" spans="187:190" s="1" customFormat="1" ht="18" customHeight="1" x14ac:dyDescent="0.2">
      <c r="GE1536"/>
      <c r="GF1536"/>
      <c r="GG1536"/>
      <c r="GH1536"/>
    </row>
    <row r="1537" spans="187:190" s="1" customFormat="1" ht="18" customHeight="1" x14ac:dyDescent="0.2">
      <c r="GE1537"/>
      <c r="GF1537"/>
      <c r="GG1537"/>
      <c r="GH1537"/>
    </row>
    <row r="1538" spans="187:190" s="1" customFormat="1" ht="18" customHeight="1" x14ac:dyDescent="0.2">
      <c r="GE1538"/>
      <c r="GF1538"/>
      <c r="GG1538"/>
      <c r="GH1538"/>
    </row>
    <row r="1539" spans="187:190" s="1" customFormat="1" ht="18" customHeight="1" x14ac:dyDescent="0.2">
      <c r="GE1539"/>
      <c r="GF1539"/>
      <c r="GG1539"/>
      <c r="GH1539"/>
    </row>
    <row r="1540" spans="187:190" s="1" customFormat="1" ht="18" customHeight="1" x14ac:dyDescent="0.2">
      <c r="GE1540"/>
      <c r="GF1540"/>
      <c r="GG1540"/>
      <c r="GH1540"/>
    </row>
    <row r="1541" spans="187:190" s="1" customFormat="1" ht="18" customHeight="1" x14ac:dyDescent="0.2">
      <c r="GE1541"/>
      <c r="GF1541"/>
      <c r="GG1541"/>
      <c r="GH1541"/>
    </row>
    <row r="1542" spans="187:190" s="1" customFormat="1" ht="18" customHeight="1" x14ac:dyDescent="0.2">
      <c r="GE1542"/>
      <c r="GF1542"/>
      <c r="GG1542"/>
      <c r="GH1542"/>
    </row>
    <row r="1543" spans="187:190" s="1" customFormat="1" ht="18" customHeight="1" x14ac:dyDescent="0.2">
      <c r="GE1543"/>
      <c r="GF1543"/>
      <c r="GG1543"/>
      <c r="GH1543"/>
    </row>
    <row r="1544" spans="187:190" s="1" customFormat="1" ht="18" customHeight="1" x14ac:dyDescent="0.2">
      <c r="GE1544"/>
      <c r="GF1544"/>
      <c r="GG1544"/>
      <c r="GH1544"/>
    </row>
    <row r="1545" spans="187:190" s="1" customFormat="1" ht="18" customHeight="1" x14ac:dyDescent="0.2">
      <c r="GE1545"/>
      <c r="GF1545"/>
      <c r="GG1545"/>
      <c r="GH1545"/>
    </row>
    <row r="1546" spans="187:190" s="1" customFormat="1" ht="18" customHeight="1" x14ac:dyDescent="0.2">
      <c r="GE1546"/>
      <c r="GF1546"/>
      <c r="GG1546"/>
      <c r="GH1546"/>
    </row>
    <row r="1547" spans="187:190" s="1" customFormat="1" ht="18" customHeight="1" x14ac:dyDescent="0.2">
      <c r="GE1547"/>
      <c r="GF1547"/>
      <c r="GG1547"/>
      <c r="GH1547"/>
    </row>
    <row r="1548" spans="187:190" s="1" customFormat="1" ht="18" customHeight="1" x14ac:dyDescent="0.2">
      <c r="GE1548"/>
      <c r="GF1548"/>
      <c r="GG1548"/>
      <c r="GH1548"/>
    </row>
    <row r="1549" spans="187:190" s="1" customFormat="1" ht="18" customHeight="1" x14ac:dyDescent="0.2">
      <c r="GE1549"/>
      <c r="GF1549"/>
      <c r="GG1549"/>
      <c r="GH1549"/>
    </row>
    <row r="1550" spans="187:190" s="1" customFormat="1" ht="18" customHeight="1" x14ac:dyDescent="0.2">
      <c r="GE1550"/>
      <c r="GF1550"/>
      <c r="GG1550"/>
      <c r="GH1550"/>
    </row>
    <row r="1551" spans="187:190" s="1" customFormat="1" ht="18" customHeight="1" x14ac:dyDescent="0.2">
      <c r="GE1551"/>
      <c r="GF1551"/>
      <c r="GG1551"/>
      <c r="GH1551"/>
    </row>
    <row r="1552" spans="187:190" s="1" customFormat="1" ht="18" customHeight="1" x14ac:dyDescent="0.2">
      <c r="GE1552"/>
      <c r="GF1552"/>
      <c r="GG1552"/>
      <c r="GH1552"/>
    </row>
    <row r="1553" spans="187:190" s="1" customFormat="1" ht="18" customHeight="1" x14ac:dyDescent="0.2">
      <c r="GE1553"/>
      <c r="GF1553"/>
      <c r="GG1553"/>
      <c r="GH1553"/>
    </row>
    <row r="1554" spans="187:190" s="1" customFormat="1" ht="18" customHeight="1" x14ac:dyDescent="0.2">
      <c r="GE1554"/>
      <c r="GF1554"/>
      <c r="GG1554"/>
      <c r="GH1554"/>
    </row>
    <row r="1555" spans="187:190" s="1" customFormat="1" ht="18" customHeight="1" x14ac:dyDescent="0.2">
      <c r="GE1555"/>
      <c r="GF1555"/>
      <c r="GG1555"/>
      <c r="GH1555"/>
    </row>
    <row r="1556" spans="187:190" s="1" customFormat="1" ht="18" customHeight="1" x14ac:dyDescent="0.2">
      <c r="GE1556"/>
      <c r="GF1556"/>
      <c r="GG1556"/>
      <c r="GH1556"/>
    </row>
    <row r="1557" spans="187:190" s="1" customFormat="1" ht="18" customHeight="1" x14ac:dyDescent="0.2">
      <c r="GE1557"/>
      <c r="GF1557"/>
      <c r="GG1557"/>
      <c r="GH1557"/>
    </row>
    <row r="1558" spans="187:190" s="1" customFormat="1" ht="18" customHeight="1" x14ac:dyDescent="0.2">
      <c r="GE1558"/>
      <c r="GF1558"/>
      <c r="GG1558"/>
      <c r="GH1558"/>
    </row>
    <row r="1559" spans="187:190" s="1" customFormat="1" ht="18" customHeight="1" x14ac:dyDescent="0.2">
      <c r="GE1559"/>
      <c r="GF1559"/>
      <c r="GG1559"/>
      <c r="GH1559"/>
    </row>
    <row r="1560" spans="187:190" s="1" customFormat="1" ht="18" customHeight="1" x14ac:dyDescent="0.2">
      <c r="GE1560"/>
      <c r="GF1560"/>
      <c r="GG1560"/>
      <c r="GH1560"/>
    </row>
    <row r="1561" spans="187:190" s="1" customFormat="1" ht="18" customHeight="1" x14ac:dyDescent="0.2">
      <c r="GE1561"/>
      <c r="GF1561"/>
      <c r="GG1561"/>
      <c r="GH1561"/>
    </row>
    <row r="1562" spans="187:190" s="1" customFormat="1" ht="18" customHeight="1" x14ac:dyDescent="0.2">
      <c r="GE1562"/>
      <c r="GF1562"/>
      <c r="GG1562"/>
      <c r="GH1562"/>
    </row>
    <row r="1563" spans="187:190" s="1" customFormat="1" ht="18" customHeight="1" x14ac:dyDescent="0.2">
      <c r="GE1563"/>
      <c r="GF1563"/>
      <c r="GG1563"/>
      <c r="GH1563"/>
    </row>
    <row r="1564" spans="187:190" s="1" customFormat="1" ht="18" customHeight="1" x14ac:dyDescent="0.2">
      <c r="GE1564"/>
      <c r="GF1564"/>
      <c r="GG1564"/>
      <c r="GH1564"/>
    </row>
    <row r="1565" spans="187:190" s="1" customFormat="1" ht="18" customHeight="1" x14ac:dyDescent="0.2">
      <c r="GE1565"/>
      <c r="GF1565"/>
      <c r="GG1565"/>
      <c r="GH1565"/>
    </row>
    <row r="1566" spans="187:190" s="1" customFormat="1" ht="18" customHeight="1" x14ac:dyDescent="0.2">
      <c r="GE1566"/>
      <c r="GF1566"/>
      <c r="GG1566"/>
      <c r="GH1566"/>
    </row>
    <row r="1567" spans="187:190" s="1" customFormat="1" ht="18" customHeight="1" x14ac:dyDescent="0.2">
      <c r="GE1567"/>
      <c r="GF1567"/>
      <c r="GG1567"/>
      <c r="GH1567"/>
    </row>
    <row r="1568" spans="187:190" s="1" customFormat="1" ht="18" customHeight="1" x14ac:dyDescent="0.2">
      <c r="GE1568"/>
      <c r="GF1568"/>
      <c r="GG1568"/>
      <c r="GH1568"/>
    </row>
    <row r="1569" spans="187:190" s="1" customFormat="1" ht="18" customHeight="1" x14ac:dyDescent="0.2">
      <c r="GE1569"/>
      <c r="GF1569"/>
      <c r="GG1569"/>
      <c r="GH1569"/>
    </row>
    <row r="1570" spans="187:190" s="1" customFormat="1" ht="18" customHeight="1" x14ac:dyDescent="0.2">
      <c r="GE1570"/>
      <c r="GF1570"/>
      <c r="GG1570"/>
      <c r="GH1570"/>
    </row>
    <row r="1571" spans="187:190" s="1" customFormat="1" ht="18" customHeight="1" x14ac:dyDescent="0.2">
      <c r="GE1571"/>
      <c r="GF1571"/>
      <c r="GG1571"/>
      <c r="GH1571"/>
    </row>
    <row r="1572" spans="187:190" s="1" customFormat="1" ht="18" customHeight="1" x14ac:dyDescent="0.2">
      <c r="GE1572"/>
      <c r="GF1572"/>
      <c r="GG1572"/>
      <c r="GH1572"/>
    </row>
    <row r="1573" spans="187:190" s="1" customFormat="1" ht="18" customHeight="1" x14ac:dyDescent="0.2">
      <c r="GE1573"/>
      <c r="GF1573"/>
      <c r="GG1573"/>
      <c r="GH1573"/>
    </row>
    <row r="1574" spans="187:190" s="1" customFormat="1" ht="18" customHeight="1" x14ac:dyDescent="0.2">
      <c r="GE1574"/>
      <c r="GF1574"/>
      <c r="GG1574"/>
      <c r="GH1574"/>
    </row>
    <row r="1575" spans="187:190" s="1" customFormat="1" ht="18" customHeight="1" x14ac:dyDescent="0.2">
      <c r="GE1575"/>
      <c r="GF1575"/>
      <c r="GG1575"/>
      <c r="GH1575"/>
    </row>
    <row r="1576" spans="187:190" s="1" customFormat="1" ht="18" customHeight="1" x14ac:dyDescent="0.2">
      <c r="GE1576"/>
      <c r="GF1576"/>
      <c r="GG1576"/>
      <c r="GH1576"/>
    </row>
    <row r="1577" spans="187:190" s="1" customFormat="1" ht="18" customHeight="1" x14ac:dyDescent="0.2">
      <c r="GE1577"/>
      <c r="GF1577"/>
      <c r="GG1577"/>
      <c r="GH1577"/>
    </row>
    <row r="1578" spans="187:190" s="1" customFormat="1" ht="18" customHeight="1" x14ac:dyDescent="0.2">
      <c r="GE1578"/>
      <c r="GF1578"/>
      <c r="GG1578"/>
      <c r="GH1578"/>
    </row>
    <row r="1579" spans="187:190" s="1" customFormat="1" ht="18" customHeight="1" x14ac:dyDescent="0.2">
      <c r="GE1579"/>
      <c r="GF1579"/>
      <c r="GG1579"/>
      <c r="GH1579"/>
    </row>
    <row r="1580" spans="187:190" s="1" customFormat="1" ht="18" customHeight="1" x14ac:dyDescent="0.2">
      <c r="GE1580"/>
      <c r="GF1580"/>
      <c r="GG1580"/>
      <c r="GH1580"/>
    </row>
    <row r="1581" spans="187:190" s="1" customFormat="1" ht="18" customHeight="1" x14ac:dyDescent="0.2">
      <c r="GE1581"/>
      <c r="GF1581"/>
      <c r="GG1581"/>
      <c r="GH1581"/>
    </row>
    <row r="1582" spans="187:190" s="1" customFormat="1" ht="18" customHeight="1" x14ac:dyDescent="0.2">
      <c r="GE1582"/>
      <c r="GF1582"/>
      <c r="GG1582"/>
      <c r="GH1582"/>
    </row>
    <row r="1583" spans="187:190" s="1" customFormat="1" ht="18" customHeight="1" x14ac:dyDescent="0.2">
      <c r="GE1583"/>
      <c r="GF1583"/>
      <c r="GG1583"/>
      <c r="GH1583"/>
    </row>
    <row r="1584" spans="187:190" s="1" customFormat="1" ht="18" customHeight="1" x14ac:dyDescent="0.2">
      <c r="GE1584"/>
      <c r="GF1584"/>
      <c r="GG1584"/>
      <c r="GH1584"/>
    </row>
    <row r="1585" spans="187:190" s="1" customFormat="1" ht="18" customHeight="1" x14ac:dyDescent="0.2">
      <c r="GE1585"/>
      <c r="GF1585"/>
      <c r="GG1585"/>
      <c r="GH1585"/>
    </row>
    <row r="1586" spans="187:190" s="1" customFormat="1" ht="18" customHeight="1" x14ac:dyDescent="0.2">
      <c r="GE1586"/>
      <c r="GF1586"/>
      <c r="GG1586"/>
      <c r="GH1586"/>
    </row>
    <row r="1587" spans="187:190" s="1" customFormat="1" ht="18" customHeight="1" x14ac:dyDescent="0.2">
      <c r="GE1587"/>
      <c r="GF1587"/>
      <c r="GG1587"/>
      <c r="GH1587"/>
    </row>
    <row r="1588" spans="187:190" s="1" customFormat="1" ht="18" customHeight="1" x14ac:dyDescent="0.2">
      <c r="GE1588"/>
      <c r="GF1588"/>
      <c r="GG1588"/>
      <c r="GH1588"/>
    </row>
    <row r="1589" spans="187:190" s="1" customFormat="1" ht="18" customHeight="1" x14ac:dyDescent="0.2">
      <c r="GE1589"/>
      <c r="GF1589"/>
      <c r="GG1589"/>
      <c r="GH1589"/>
    </row>
    <row r="1590" spans="187:190" s="1" customFormat="1" ht="18" customHeight="1" x14ac:dyDescent="0.2">
      <c r="GE1590"/>
      <c r="GF1590"/>
      <c r="GG1590"/>
      <c r="GH1590"/>
    </row>
    <row r="1591" spans="187:190" s="1" customFormat="1" ht="18" customHeight="1" x14ac:dyDescent="0.2">
      <c r="GE1591"/>
      <c r="GF1591"/>
      <c r="GG1591"/>
      <c r="GH1591"/>
    </row>
    <row r="1592" spans="187:190" s="1" customFormat="1" ht="18" customHeight="1" x14ac:dyDescent="0.2">
      <c r="GE1592"/>
      <c r="GF1592"/>
      <c r="GG1592"/>
      <c r="GH1592"/>
    </row>
    <row r="1593" spans="187:190" s="1" customFormat="1" ht="18" customHeight="1" x14ac:dyDescent="0.2">
      <c r="GE1593"/>
      <c r="GF1593"/>
      <c r="GG1593"/>
      <c r="GH1593"/>
    </row>
    <row r="1594" spans="187:190" s="1" customFormat="1" ht="18" customHeight="1" x14ac:dyDescent="0.2">
      <c r="GE1594"/>
      <c r="GF1594"/>
      <c r="GG1594"/>
      <c r="GH1594"/>
    </row>
    <row r="1595" spans="187:190" s="1" customFormat="1" ht="18" customHeight="1" x14ac:dyDescent="0.2">
      <c r="GE1595"/>
      <c r="GF1595"/>
      <c r="GG1595"/>
      <c r="GH1595"/>
    </row>
    <row r="1596" spans="187:190" s="1" customFormat="1" ht="18" customHeight="1" x14ac:dyDescent="0.2">
      <c r="GE1596"/>
      <c r="GF1596"/>
      <c r="GG1596"/>
      <c r="GH1596"/>
    </row>
    <row r="1597" spans="187:190" s="1" customFormat="1" ht="18" customHeight="1" x14ac:dyDescent="0.2">
      <c r="GE1597"/>
      <c r="GF1597"/>
      <c r="GG1597"/>
      <c r="GH1597"/>
    </row>
    <row r="1598" spans="187:190" s="1" customFormat="1" ht="18" customHeight="1" x14ac:dyDescent="0.2">
      <c r="GE1598"/>
      <c r="GF1598"/>
      <c r="GG1598"/>
      <c r="GH1598"/>
    </row>
    <row r="1599" spans="187:190" s="1" customFormat="1" ht="18" customHeight="1" x14ac:dyDescent="0.2">
      <c r="GE1599"/>
      <c r="GF1599"/>
      <c r="GG1599"/>
      <c r="GH1599"/>
    </row>
    <row r="1600" spans="187:190" s="1" customFormat="1" ht="18" customHeight="1" x14ac:dyDescent="0.2">
      <c r="GE1600"/>
      <c r="GF1600"/>
      <c r="GG1600"/>
      <c r="GH1600"/>
    </row>
    <row r="1601" spans="187:190" s="1" customFormat="1" ht="18" customHeight="1" x14ac:dyDescent="0.2">
      <c r="GE1601"/>
      <c r="GF1601"/>
      <c r="GG1601"/>
      <c r="GH1601"/>
    </row>
    <row r="1602" spans="187:190" s="1" customFormat="1" ht="18" customHeight="1" x14ac:dyDescent="0.2">
      <c r="GE1602"/>
      <c r="GF1602"/>
      <c r="GG1602"/>
      <c r="GH1602"/>
    </row>
    <row r="1603" spans="187:190" s="1" customFormat="1" ht="18" customHeight="1" x14ac:dyDescent="0.2">
      <c r="GE1603"/>
      <c r="GF1603"/>
      <c r="GG1603"/>
      <c r="GH1603"/>
    </row>
    <row r="1604" spans="187:190" s="1" customFormat="1" ht="18" customHeight="1" x14ac:dyDescent="0.2">
      <c r="GE1604"/>
      <c r="GF1604"/>
      <c r="GG1604"/>
      <c r="GH1604"/>
    </row>
    <row r="1605" spans="187:190" s="1" customFormat="1" ht="18" customHeight="1" x14ac:dyDescent="0.2">
      <c r="GE1605"/>
      <c r="GF1605"/>
      <c r="GG1605"/>
      <c r="GH1605"/>
    </row>
    <row r="1606" spans="187:190" s="1" customFormat="1" ht="18" customHeight="1" x14ac:dyDescent="0.2">
      <c r="GE1606"/>
      <c r="GF1606"/>
      <c r="GG1606"/>
      <c r="GH1606"/>
    </row>
    <row r="1607" spans="187:190" s="1" customFormat="1" ht="18" customHeight="1" x14ac:dyDescent="0.2">
      <c r="GE1607"/>
      <c r="GF1607"/>
      <c r="GG1607"/>
      <c r="GH1607"/>
    </row>
    <row r="1608" spans="187:190" s="1" customFormat="1" ht="18" customHeight="1" x14ac:dyDescent="0.2">
      <c r="GE1608"/>
      <c r="GF1608"/>
      <c r="GG1608"/>
      <c r="GH1608"/>
    </row>
    <row r="1609" spans="187:190" s="1" customFormat="1" ht="18" customHeight="1" x14ac:dyDescent="0.2">
      <c r="GE1609"/>
      <c r="GF1609"/>
      <c r="GG1609"/>
      <c r="GH1609"/>
    </row>
    <row r="1610" spans="187:190" s="1" customFormat="1" ht="18" customHeight="1" x14ac:dyDescent="0.2">
      <c r="GE1610"/>
      <c r="GF1610"/>
      <c r="GG1610"/>
      <c r="GH1610"/>
    </row>
    <row r="1611" spans="187:190" s="1" customFormat="1" ht="18" customHeight="1" x14ac:dyDescent="0.2">
      <c r="GE1611"/>
      <c r="GF1611"/>
      <c r="GG1611"/>
      <c r="GH1611"/>
    </row>
    <row r="1612" spans="187:190" s="1" customFormat="1" ht="18" customHeight="1" x14ac:dyDescent="0.2">
      <c r="GE1612"/>
      <c r="GF1612"/>
      <c r="GG1612"/>
      <c r="GH1612"/>
    </row>
    <row r="1613" spans="187:190" s="1" customFormat="1" ht="18" customHeight="1" x14ac:dyDescent="0.2">
      <c r="GE1613"/>
      <c r="GF1613"/>
      <c r="GG1613"/>
      <c r="GH1613"/>
    </row>
    <row r="1614" spans="187:190" s="1" customFormat="1" ht="18" customHeight="1" x14ac:dyDescent="0.2">
      <c r="GE1614"/>
      <c r="GF1614"/>
      <c r="GG1614"/>
      <c r="GH1614"/>
    </row>
    <row r="1615" spans="187:190" s="1" customFormat="1" ht="18" customHeight="1" x14ac:dyDescent="0.2">
      <c r="GE1615"/>
      <c r="GF1615"/>
      <c r="GG1615"/>
      <c r="GH1615"/>
    </row>
    <row r="1616" spans="187:190" s="1" customFormat="1" ht="18" customHeight="1" x14ac:dyDescent="0.2">
      <c r="GE1616"/>
      <c r="GF1616"/>
      <c r="GG1616"/>
      <c r="GH1616"/>
    </row>
    <row r="1617" spans="187:190" s="1" customFormat="1" ht="18" customHeight="1" x14ac:dyDescent="0.2">
      <c r="GE1617"/>
      <c r="GF1617"/>
      <c r="GG1617"/>
      <c r="GH1617"/>
    </row>
    <row r="1618" spans="187:190" s="1" customFormat="1" ht="18" customHeight="1" x14ac:dyDescent="0.2">
      <c r="GE1618"/>
      <c r="GF1618"/>
      <c r="GG1618"/>
      <c r="GH1618"/>
    </row>
    <row r="1619" spans="187:190" s="1" customFormat="1" ht="18" customHeight="1" x14ac:dyDescent="0.2">
      <c r="GE1619"/>
      <c r="GF1619"/>
      <c r="GG1619"/>
      <c r="GH1619"/>
    </row>
    <row r="1620" spans="187:190" s="1" customFormat="1" ht="18" customHeight="1" x14ac:dyDescent="0.2">
      <c r="GE1620"/>
      <c r="GF1620"/>
      <c r="GG1620"/>
      <c r="GH1620"/>
    </row>
    <row r="1621" spans="187:190" s="1" customFormat="1" ht="18" customHeight="1" x14ac:dyDescent="0.2">
      <c r="GE1621"/>
      <c r="GF1621"/>
      <c r="GG1621"/>
      <c r="GH1621"/>
    </row>
    <row r="1622" spans="187:190" s="1" customFormat="1" ht="18" customHeight="1" x14ac:dyDescent="0.2">
      <c r="GE1622"/>
      <c r="GF1622"/>
      <c r="GG1622"/>
      <c r="GH1622"/>
    </row>
    <row r="1623" spans="187:190" s="1" customFormat="1" ht="18" customHeight="1" x14ac:dyDescent="0.2">
      <c r="GE1623"/>
      <c r="GF1623"/>
      <c r="GG1623"/>
      <c r="GH1623"/>
    </row>
    <row r="1624" spans="187:190" s="1" customFormat="1" ht="18" customHeight="1" x14ac:dyDescent="0.2">
      <c r="GE1624"/>
      <c r="GF1624"/>
      <c r="GG1624"/>
      <c r="GH1624"/>
    </row>
    <row r="1625" spans="187:190" s="1" customFormat="1" ht="18" customHeight="1" x14ac:dyDescent="0.2">
      <c r="GE1625"/>
      <c r="GF1625"/>
      <c r="GG1625"/>
      <c r="GH1625"/>
    </row>
    <row r="1626" spans="187:190" s="1" customFormat="1" ht="18" customHeight="1" x14ac:dyDescent="0.2">
      <c r="GE1626"/>
      <c r="GF1626"/>
      <c r="GG1626"/>
      <c r="GH1626"/>
    </row>
    <row r="1627" spans="187:190" s="1" customFormat="1" ht="18" customHeight="1" x14ac:dyDescent="0.2">
      <c r="GE1627"/>
      <c r="GF1627"/>
      <c r="GG1627"/>
      <c r="GH1627"/>
    </row>
    <row r="1628" spans="187:190" s="1" customFormat="1" ht="18" customHeight="1" x14ac:dyDescent="0.2">
      <c r="GE1628"/>
      <c r="GF1628"/>
      <c r="GG1628"/>
      <c r="GH1628"/>
    </row>
    <row r="1629" spans="187:190" s="1" customFormat="1" ht="18" customHeight="1" x14ac:dyDescent="0.2">
      <c r="GE1629"/>
      <c r="GF1629"/>
      <c r="GG1629"/>
      <c r="GH1629"/>
    </row>
    <row r="1630" spans="187:190" s="1" customFormat="1" ht="18" customHeight="1" x14ac:dyDescent="0.2">
      <c r="GE1630"/>
      <c r="GF1630"/>
      <c r="GG1630"/>
      <c r="GH1630"/>
    </row>
    <row r="1631" spans="187:190" s="1" customFormat="1" ht="18" customHeight="1" x14ac:dyDescent="0.2">
      <c r="GE1631"/>
      <c r="GF1631"/>
      <c r="GG1631"/>
      <c r="GH1631"/>
    </row>
    <row r="1632" spans="187:190" s="1" customFormat="1" ht="18" customHeight="1" x14ac:dyDescent="0.2">
      <c r="GE1632"/>
      <c r="GF1632"/>
      <c r="GG1632"/>
      <c r="GH1632"/>
    </row>
    <row r="1633" spans="187:190" s="1" customFormat="1" ht="18" customHeight="1" x14ac:dyDescent="0.2">
      <c r="GE1633"/>
      <c r="GF1633"/>
      <c r="GG1633"/>
      <c r="GH1633"/>
    </row>
    <row r="1634" spans="187:190" s="1" customFormat="1" ht="18" customHeight="1" x14ac:dyDescent="0.2">
      <c r="GE1634"/>
      <c r="GF1634"/>
      <c r="GG1634"/>
      <c r="GH1634"/>
    </row>
    <row r="1635" spans="187:190" s="1" customFormat="1" ht="18" customHeight="1" x14ac:dyDescent="0.2">
      <c r="GE1635"/>
      <c r="GF1635"/>
      <c r="GG1635"/>
      <c r="GH1635"/>
    </row>
    <row r="1636" spans="187:190" s="1" customFormat="1" ht="18" customHeight="1" x14ac:dyDescent="0.2">
      <c r="GE1636"/>
      <c r="GF1636"/>
      <c r="GG1636"/>
      <c r="GH1636"/>
    </row>
    <row r="1637" spans="187:190" s="1" customFormat="1" ht="18" customHeight="1" x14ac:dyDescent="0.2">
      <c r="GE1637"/>
      <c r="GF1637"/>
      <c r="GG1637"/>
      <c r="GH1637"/>
    </row>
    <row r="1638" spans="187:190" s="1" customFormat="1" ht="18" customHeight="1" x14ac:dyDescent="0.2">
      <c r="GE1638"/>
      <c r="GF1638"/>
      <c r="GG1638"/>
      <c r="GH1638"/>
    </row>
    <row r="1639" spans="187:190" s="1" customFormat="1" ht="18" customHeight="1" x14ac:dyDescent="0.2">
      <c r="GE1639"/>
      <c r="GF1639"/>
      <c r="GG1639"/>
      <c r="GH1639"/>
    </row>
    <row r="1640" spans="187:190" s="1" customFormat="1" ht="18" customHeight="1" x14ac:dyDescent="0.2">
      <c r="GE1640"/>
      <c r="GF1640"/>
      <c r="GG1640"/>
      <c r="GH1640"/>
    </row>
    <row r="1641" spans="187:190" s="1" customFormat="1" ht="18" customHeight="1" x14ac:dyDescent="0.2">
      <c r="GE1641"/>
      <c r="GF1641"/>
      <c r="GG1641"/>
      <c r="GH1641"/>
    </row>
    <row r="1642" spans="187:190" s="1" customFormat="1" ht="18" customHeight="1" x14ac:dyDescent="0.2">
      <c r="GE1642"/>
      <c r="GF1642"/>
      <c r="GG1642"/>
      <c r="GH1642"/>
    </row>
    <row r="1643" spans="187:190" s="1" customFormat="1" ht="18" customHeight="1" x14ac:dyDescent="0.2">
      <c r="GE1643"/>
      <c r="GF1643"/>
      <c r="GG1643"/>
      <c r="GH1643"/>
    </row>
    <row r="1644" spans="187:190" s="1" customFormat="1" ht="18" customHeight="1" x14ac:dyDescent="0.2">
      <c r="GE1644"/>
      <c r="GF1644"/>
      <c r="GG1644"/>
      <c r="GH1644"/>
    </row>
    <row r="1645" spans="187:190" s="1" customFormat="1" ht="18" customHeight="1" x14ac:dyDescent="0.2">
      <c r="GE1645"/>
      <c r="GF1645"/>
      <c r="GG1645"/>
      <c r="GH1645"/>
    </row>
    <row r="1646" spans="187:190" s="1" customFormat="1" ht="18" customHeight="1" x14ac:dyDescent="0.2">
      <c r="GE1646"/>
      <c r="GF1646"/>
      <c r="GG1646"/>
      <c r="GH1646"/>
    </row>
    <row r="1647" spans="187:190" s="1" customFormat="1" ht="18" customHeight="1" x14ac:dyDescent="0.2">
      <c r="GE1647"/>
      <c r="GF1647"/>
      <c r="GG1647"/>
      <c r="GH1647"/>
    </row>
    <row r="1648" spans="187:190" s="1" customFormat="1" ht="18" customHeight="1" x14ac:dyDescent="0.2">
      <c r="GE1648"/>
      <c r="GF1648"/>
      <c r="GG1648"/>
      <c r="GH1648"/>
    </row>
    <row r="1649" spans="187:190" s="1" customFormat="1" ht="18" customHeight="1" x14ac:dyDescent="0.2">
      <c r="GE1649"/>
      <c r="GF1649"/>
      <c r="GG1649"/>
      <c r="GH1649"/>
    </row>
    <row r="1650" spans="187:190" s="1" customFormat="1" ht="18" customHeight="1" x14ac:dyDescent="0.2">
      <c r="GE1650"/>
      <c r="GF1650"/>
      <c r="GG1650"/>
      <c r="GH1650"/>
    </row>
    <row r="1651" spans="187:190" s="1" customFormat="1" ht="18" customHeight="1" x14ac:dyDescent="0.2">
      <c r="GE1651"/>
      <c r="GF1651"/>
      <c r="GG1651"/>
      <c r="GH1651"/>
    </row>
    <row r="1652" spans="187:190" s="1" customFormat="1" ht="18" customHeight="1" x14ac:dyDescent="0.2">
      <c r="GE1652"/>
      <c r="GF1652"/>
      <c r="GG1652"/>
      <c r="GH1652"/>
    </row>
    <row r="1653" spans="187:190" s="1" customFormat="1" ht="18" customHeight="1" x14ac:dyDescent="0.2">
      <c r="GE1653"/>
      <c r="GF1653"/>
      <c r="GG1653"/>
      <c r="GH1653"/>
    </row>
    <row r="1654" spans="187:190" s="1" customFormat="1" ht="18" customHeight="1" x14ac:dyDescent="0.2">
      <c r="GE1654"/>
      <c r="GF1654"/>
      <c r="GG1654"/>
      <c r="GH1654"/>
    </row>
    <row r="1655" spans="187:190" s="1" customFormat="1" ht="18" customHeight="1" x14ac:dyDescent="0.2">
      <c r="GE1655"/>
      <c r="GF1655"/>
      <c r="GG1655"/>
      <c r="GH1655"/>
    </row>
    <row r="1656" spans="187:190" s="1" customFormat="1" ht="18" customHeight="1" x14ac:dyDescent="0.2">
      <c r="GE1656"/>
      <c r="GF1656"/>
      <c r="GG1656"/>
      <c r="GH1656"/>
    </row>
    <row r="1657" spans="187:190" s="1" customFormat="1" ht="18" customHeight="1" x14ac:dyDescent="0.2">
      <c r="GE1657"/>
      <c r="GF1657"/>
      <c r="GG1657"/>
      <c r="GH1657"/>
    </row>
    <row r="1658" spans="187:190" s="1" customFormat="1" ht="18" customHeight="1" x14ac:dyDescent="0.2">
      <c r="GE1658"/>
      <c r="GF1658"/>
      <c r="GG1658"/>
      <c r="GH1658"/>
    </row>
    <row r="1659" spans="187:190" s="1" customFormat="1" ht="18" customHeight="1" x14ac:dyDescent="0.2">
      <c r="GE1659"/>
      <c r="GF1659"/>
      <c r="GG1659"/>
      <c r="GH1659"/>
    </row>
    <row r="1660" spans="187:190" s="1" customFormat="1" ht="18" customHeight="1" x14ac:dyDescent="0.2">
      <c r="GE1660"/>
      <c r="GF1660"/>
      <c r="GG1660"/>
      <c r="GH1660"/>
    </row>
    <row r="1661" spans="187:190" s="1" customFormat="1" ht="18" customHeight="1" x14ac:dyDescent="0.2">
      <c r="GE1661"/>
      <c r="GF1661"/>
      <c r="GG1661"/>
      <c r="GH1661"/>
    </row>
    <row r="1662" spans="187:190" s="1" customFormat="1" ht="18" customHeight="1" x14ac:dyDescent="0.2">
      <c r="GE1662"/>
      <c r="GF1662"/>
      <c r="GG1662"/>
      <c r="GH1662"/>
    </row>
    <row r="1663" spans="187:190" s="1" customFormat="1" ht="18" customHeight="1" x14ac:dyDescent="0.2">
      <c r="GE1663"/>
      <c r="GF1663"/>
      <c r="GG1663"/>
      <c r="GH1663"/>
    </row>
    <row r="1664" spans="187:190" s="1" customFormat="1" ht="18" customHeight="1" x14ac:dyDescent="0.2">
      <c r="GE1664"/>
      <c r="GF1664"/>
      <c r="GG1664"/>
      <c r="GH1664"/>
    </row>
    <row r="1665" spans="187:190" s="1" customFormat="1" ht="18" customHeight="1" x14ac:dyDescent="0.2">
      <c r="GE1665"/>
      <c r="GF1665"/>
      <c r="GG1665"/>
      <c r="GH1665"/>
    </row>
    <row r="1666" spans="187:190" s="1" customFormat="1" ht="18" customHeight="1" x14ac:dyDescent="0.2">
      <c r="GE1666"/>
      <c r="GF1666"/>
      <c r="GG1666"/>
      <c r="GH1666"/>
    </row>
    <row r="1667" spans="187:190" s="1" customFormat="1" ht="18" customHeight="1" x14ac:dyDescent="0.2">
      <c r="GE1667"/>
      <c r="GF1667"/>
      <c r="GG1667"/>
      <c r="GH1667"/>
    </row>
    <row r="1668" spans="187:190" s="1" customFormat="1" ht="18" customHeight="1" x14ac:dyDescent="0.2">
      <c r="GE1668"/>
      <c r="GF1668"/>
      <c r="GG1668"/>
      <c r="GH1668"/>
    </row>
    <row r="1669" spans="187:190" s="1" customFormat="1" ht="18" customHeight="1" x14ac:dyDescent="0.2">
      <c r="GE1669"/>
      <c r="GF1669"/>
      <c r="GG1669"/>
      <c r="GH1669"/>
    </row>
    <row r="1670" spans="187:190" s="1" customFormat="1" ht="18" customHeight="1" x14ac:dyDescent="0.2">
      <c r="GE1670"/>
      <c r="GF1670"/>
      <c r="GG1670"/>
      <c r="GH1670"/>
    </row>
    <row r="1671" spans="187:190" s="1" customFormat="1" ht="18" customHeight="1" x14ac:dyDescent="0.2">
      <c r="GE1671"/>
      <c r="GF1671"/>
      <c r="GG1671"/>
      <c r="GH1671"/>
    </row>
    <row r="1672" spans="187:190" s="1" customFormat="1" ht="18" customHeight="1" x14ac:dyDescent="0.2">
      <c r="GE1672"/>
      <c r="GF1672"/>
      <c r="GG1672"/>
      <c r="GH1672"/>
    </row>
    <row r="1673" spans="187:190" s="1" customFormat="1" ht="18" customHeight="1" x14ac:dyDescent="0.2">
      <c r="GE1673"/>
      <c r="GF1673"/>
      <c r="GG1673"/>
      <c r="GH1673"/>
    </row>
    <row r="1674" spans="187:190" s="1" customFormat="1" ht="18" customHeight="1" x14ac:dyDescent="0.2">
      <c r="GE1674"/>
      <c r="GF1674"/>
      <c r="GG1674"/>
      <c r="GH1674"/>
    </row>
    <row r="1675" spans="187:190" s="1" customFormat="1" ht="18" customHeight="1" x14ac:dyDescent="0.2">
      <c r="GE1675"/>
      <c r="GF1675"/>
      <c r="GG1675"/>
      <c r="GH1675"/>
    </row>
    <row r="1676" spans="187:190" s="1" customFormat="1" ht="18" customHeight="1" x14ac:dyDescent="0.2">
      <c r="GE1676"/>
      <c r="GF1676"/>
      <c r="GG1676"/>
      <c r="GH1676"/>
    </row>
    <row r="1677" spans="187:190" s="1" customFormat="1" ht="18" customHeight="1" x14ac:dyDescent="0.2">
      <c r="GE1677"/>
      <c r="GF1677"/>
      <c r="GG1677"/>
      <c r="GH1677"/>
    </row>
    <row r="1678" spans="187:190" s="1" customFormat="1" ht="18" customHeight="1" x14ac:dyDescent="0.2">
      <c r="GE1678"/>
      <c r="GF1678"/>
      <c r="GG1678"/>
      <c r="GH1678"/>
    </row>
    <row r="1679" spans="187:190" s="1" customFormat="1" ht="18" customHeight="1" x14ac:dyDescent="0.2">
      <c r="GE1679"/>
      <c r="GF1679"/>
      <c r="GG1679"/>
      <c r="GH1679"/>
    </row>
    <row r="1680" spans="187:190" s="1" customFormat="1" ht="18" customHeight="1" x14ac:dyDescent="0.2">
      <c r="GE1680"/>
      <c r="GF1680"/>
      <c r="GG1680"/>
      <c r="GH1680"/>
    </row>
    <row r="1681" spans="187:190" s="1" customFormat="1" ht="18" customHeight="1" x14ac:dyDescent="0.2">
      <c r="GE1681"/>
      <c r="GF1681"/>
      <c r="GG1681"/>
      <c r="GH1681"/>
    </row>
    <row r="1682" spans="187:190" s="1" customFormat="1" ht="18" customHeight="1" x14ac:dyDescent="0.2">
      <c r="GE1682"/>
      <c r="GF1682"/>
      <c r="GG1682"/>
      <c r="GH1682"/>
    </row>
    <row r="1683" spans="187:190" s="1" customFormat="1" ht="18" customHeight="1" x14ac:dyDescent="0.2">
      <c r="GE1683"/>
      <c r="GF1683"/>
      <c r="GG1683"/>
      <c r="GH1683"/>
    </row>
    <row r="1684" spans="187:190" s="1" customFormat="1" ht="18" customHeight="1" x14ac:dyDescent="0.2">
      <c r="GE1684"/>
      <c r="GF1684"/>
      <c r="GG1684"/>
      <c r="GH1684"/>
    </row>
    <row r="1685" spans="187:190" s="1" customFormat="1" ht="18" customHeight="1" x14ac:dyDescent="0.2">
      <c r="GE1685"/>
      <c r="GF1685"/>
      <c r="GG1685"/>
      <c r="GH1685"/>
    </row>
    <row r="1686" spans="187:190" s="1" customFormat="1" ht="18" customHeight="1" x14ac:dyDescent="0.2">
      <c r="GE1686"/>
      <c r="GF1686"/>
      <c r="GG1686"/>
      <c r="GH1686"/>
    </row>
    <row r="1687" spans="187:190" s="1" customFormat="1" ht="18" customHeight="1" x14ac:dyDescent="0.2">
      <c r="GE1687"/>
      <c r="GF1687"/>
      <c r="GG1687"/>
      <c r="GH1687"/>
    </row>
    <row r="1688" spans="187:190" s="1" customFormat="1" ht="18" customHeight="1" x14ac:dyDescent="0.2">
      <c r="GE1688"/>
      <c r="GF1688"/>
      <c r="GG1688"/>
      <c r="GH1688"/>
    </row>
    <row r="1689" spans="187:190" s="1" customFormat="1" ht="18" customHeight="1" x14ac:dyDescent="0.2">
      <c r="GE1689"/>
      <c r="GF1689"/>
      <c r="GG1689"/>
      <c r="GH1689"/>
    </row>
    <row r="1690" spans="187:190" s="1" customFormat="1" ht="18" customHeight="1" x14ac:dyDescent="0.2">
      <c r="GE1690"/>
      <c r="GF1690"/>
      <c r="GG1690"/>
      <c r="GH1690"/>
    </row>
    <row r="1691" spans="187:190" s="1" customFormat="1" ht="18" customHeight="1" x14ac:dyDescent="0.2">
      <c r="GE1691"/>
      <c r="GF1691"/>
      <c r="GG1691"/>
      <c r="GH1691"/>
    </row>
    <row r="1692" spans="187:190" s="1" customFormat="1" ht="18" customHeight="1" x14ac:dyDescent="0.2">
      <c r="GE1692"/>
      <c r="GF1692"/>
      <c r="GG1692"/>
      <c r="GH1692"/>
    </row>
    <row r="1693" spans="187:190" s="1" customFormat="1" ht="18" customHeight="1" x14ac:dyDescent="0.2">
      <c r="GE1693"/>
      <c r="GF1693"/>
      <c r="GG1693"/>
      <c r="GH1693"/>
    </row>
    <row r="1694" spans="187:190" s="1" customFormat="1" ht="18" customHeight="1" x14ac:dyDescent="0.2">
      <c r="GE1694"/>
      <c r="GF1694"/>
      <c r="GG1694"/>
      <c r="GH1694"/>
    </row>
    <row r="1695" spans="187:190" s="1" customFormat="1" ht="18" customHeight="1" x14ac:dyDescent="0.2">
      <c r="GE1695"/>
      <c r="GF1695"/>
      <c r="GG1695"/>
      <c r="GH1695"/>
    </row>
    <row r="1696" spans="187:190" s="1" customFormat="1" ht="18" customHeight="1" x14ac:dyDescent="0.2">
      <c r="GE1696"/>
      <c r="GF1696"/>
      <c r="GG1696"/>
      <c r="GH1696"/>
    </row>
    <row r="1697" spans="187:190" s="1" customFormat="1" ht="18" customHeight="1" x14ac:dyDescent="0.2">
      <c r="GE1697"/>
      <c r="GF1697"/>
      <c r="GG1697"/>
      <c r="GH1697"/>
    </row>
    <row r="1698" spans="187:190" s="1" customFormat="1" ht="18" customHeight="1" x14ac:dyDescent="0.2">
      <c r="GE1698"/>
      <c r="GF1698"/>
      <c r="GG1698"/>
      <c r="GH1698"/>
    </row>
    <row r="1699" spans="187:190" s="1" customFormat="1" ht="18" customHeight="1" x14ac:dyDescent="0.2">
      <c r="GE1699"/>
      <c r="GF1699"/>
      <c r="GG1699"/>
      <c r="GH1699"/>
    </row>
    <row r="1700" spans="187:190" s="1" customFormat="1" ht="18" customHeight="1" x14ac:dyDescent="0.2">
      <c r="GE1700"/>
      <c r="GF1700"/>
      <c r="GG1700"/>
      <c r="GH1700"/>
    </row>
    <row r="1701" spans="187:190" s="1" customFormat="1" ht="18" customHeight="1" x14ac:dyDescent="0.2">
      <c r="GE1701"/>
      <c r="GF1701"/>
      <c r="GG1701"/>
      <c r="GH1701"/>
    </row>
    <row r="1702" spans="187:190" s="1" customFormat="1" ht="18" customHeight="1" x14ac:dyDescent="0.2">
      <c r="GE1702"/>
      <c r="GF1702"/>
      <c r="GG1702"/>
      <c r="GH1702"/>
    </row>
    <row r="1703" spans="187:190" s="1" customFormat="1" ht="18" customHeight="1" x14ac:dyDescent="0.2">
      <c r="GE1703"/>
      <c r="GF1703"/>
      <c r="GG1703"/>
      <c r="GH1703"/>
    </row>
    <row r="1704" spans="187:190" s="1" customFormat="1" ht="18" customHeight="1" x14ac:dyDescent="0.2">
      <c r="GE1704"/>
      <c r="GF1704"/>
      <c r="GG1704"/>
      <c r="GH1704"/>
    </row>
    <row r="1705" spans="187:190" s="1" customFormat="1" ht="18" customHeight="1" x14ac:dyDescent="0.2">
      <c r="GE1705"/>
      <c r="GF1705"/>
      <c r="GG1705"/>
      <c r="GH1705"/>
    </row>
    <row r="1706" spans="187:190" s="1" customFormat="1" ht="18" customHeight="1" x14ac:dyDescent="0.2">
      <c r="GE1706"/>
      <c r="GF1706"/>
      <c r="GG1706"/>
      <c r="GH1706"/>
    </row>
    <row r="1707" spans="187:190" s="1" customFormat="1" ht="18" customHeight="1" x14ac:dyDescent="0.2">
      <c r="GE1707"/>
      <c r="GF1707"/>
      <c r="GG1707"/>
      <c r="GH1707"/>
    </row>
    <row r="1708" spans="187:190" s="1" customFormat="1" ht="18" customHeight="1" x14ac:dyDescent="0.2">
      <c r="GE1708"/>
      <c r="GF1708"/>
      <c r="GG1708"/>
      <c r="GH1708"/>
    </row>
    <row r="1709" spans="187:190" s="1" customFormat="1" ht="18" customHeight="1" x14ac:dyDescent="0.2">
      <c r="GE1709"/>
      <c r="GF1709"/>
      <c r="GG1709"/>
      <c r="GH1709"/>
    </row>
    <row r="1710" spans="187:190" s="1" customFormat="1" ht="18" customHeight="1" x14ac:dyDescent="0.2">
      <c r="GE1710"/>
      <c r="GF1710"/>
      <c r="GG1710"/>
      <c r="GH1710"/>
    </row>
    <row r="1711" spans="187:190" s="1" customFormat="1" ht="18" customHeight="1" x14ac:dyDescent="0.2">
      <c r="GE1711"/>
      <c r="GF1711"/>
      <c r="GG1711"/>
      <c r="GH1711"/>
    </row>
    <row r="1712" spans="187:190" s="1" customFormat="1" ht="18" customHeight="1" x14ac:dyDescent="0.2">
      <c r="GE1712"/>
      <c r="GF1712"/>
      <c r="GG1712"/>
      <c r="GH1712"/>
    </row>
    <row r="1713" spans="187:190" s="1" customFormat="1" ht="18" customHeight="1" x14ac:dyDescent="0.2">
      <c r="GE1713"/>
      <c r="GF1713"/>
      <c r="GG1713"/>
      <c r="GH1713"/>
    </row>
    <row r="1714" spans="187:190" s="1" customFormat="1" ht="18" customHeight="1" x14ac:dyDescent="0.2">
      <c r="GE1714"/>
      <c r="GF1714"/>
      <c r="GG1714"/>
      <c r="GH1714"/>
    </row>
    <row r="1715" spans="187:190" s="1" customFormat="1" ht="18" customHeight="1" x14ac:dyDescent="0.2">
      <c r="GE1715"/>
      <c r="GF1715"/>
      <c r="GG1715"/>
      <c r="GH1715"/>
    </row>
    <row r="1716" spans="187:190" s="1" customFormat="1" ht="18" customHeight="1" x14ac:dyDescent="0.2">
      <c r="GE1716"/>
      <c r="GF1716"/>
      <c r="GG1716"/>
      <c r="GH1716"/>
    </row>
    <row r="1717" spans="187:190" s="1" customFormat="1" ht="18" customHeight="1" x14ac:dyDescent="0.2">
      <c r="GE1717"/>
      <c r="GF1717"/>
      <c r="GG1717"/>
      <c r="GH1717"/>
    </row>
    <row r="1718" spans="187:190" s="1" customFormat="1" ht="18" customHeight="1" x14ac:dyDescent="0.2">
      <c r="GE1718"/>
      <c r="GF1718"/>
      <c r="GG1718"/>
      <c r="GH1718"/>
    </row>
    <row r="1719" spans="187:190" s="1" customFormat="1" ht="18" customHeight="1" x14ac:dyDescent="0.2">
      <c r="GE1719"/>
      <c r="GF1719"/>
      <c r="GG1719"/>
      <c r="GH1719"/>
    </row>
    <row r="1720" spans="187:190" s="1" customFormat="1" ht="18" customHeight="1" x14ac:dyDescent="0.2">
      <c r="GE1720"/>
      <c r="GF1720"/>
      <c r="GG1720"/>
      <c r="GH1720"/>
    </row>
    <row r="1721" spans="187:190" s="1" customFormat="1" ht="18" customHeight="1" x14ac:dyDescent="0.2">
      <c r="GE1721"/>
      <c r="GF1721"/>
      <c r="GG1721"/>
      <c r="GH1721"/>
    </row>
    <row r="1722" spans="187:190" s="1" customFormat="1" ht="18" customHeight="1" x14ac:dyDescent="0.2">
      <c r="GE1722"/>
      <c r="GF1722"/>
      <c r="GG1722"/>
      <c r="GH1722"/>
    </row>
    <row r="1723" spans="187:190" s="1" customFormat="1" ht="18" customHeight="1" x14ac:dyDescent="0.2">
      <c r="GE1723"/>
      <c r="GF1723"/>
      <c r="GG1723"/>
      <c r="GH1723"/>
    </row>
    <row r="1724" spans="187:190" s="1" customFormat="1" ht="18" customHeight="1" x14ac:dyDescent="0.2">
      <c r="GE1724"/>
      <c r="GF1724"/>
      <c r="GG1724"/>
      <c r="GH1724"/>
    </row>
    <row r="1725" spans="187:190" s="1" customFormat="1" ht="18" customHeight="1" x14ac:dyDescent="0.2">
      <c r="GE1725"/>
      <c r="GF1725"/>
      <c r="GG1725"/>
      <c r="GH1725"/>
    </row>
    <row r="1726" spans="187:190" s="1" customFormat="1" ht="18" customHeight="1" x14ac:dyDescent="0.2">
      <c r="GE1726"/>
      <c r="GF1726"/>
      <c r="GG1726"/>
      <c r="GH1726"/>
    </row>
    <row r="1727" spans="187:190" s="1" customFormat="1" ht="18" customHeight="1" x14ac:dyDescent="0.2">
      <c r="GE1727"/>
      <c r="GF1727"/>
      <c r="GG1727"/>
      <c r="GH1727"/>
    </row>
    <row r="1728" spans="187:190" s="1" customFormat="1" ht="18" customHeight="1" x14ac:dyDescent="0.2">
      <c r="GE1728"/>
      <c r="GF1728"/>
      <c r="GG1728"/>
      <c r="GH1728"/>
    </row>
    <row r="1729" spans="187:190" s="1" customFormat="1" ht="18" customHeight="1" x14ac:dyDescent="0.2">
      <c r="GE1729"/>
      <c r="GF1729"/>
      <c r="GG1729"/>
      <c r="GH1729"/>
    </row>
    <row r="1730" spans="187:190" s="1" customFormat="1" ht="18" customHeight="1" x14ac:dyDescent="0.2">
      <c r="GE1730"/>
      <c r="GF1730"/>
      <c r="GG1730"/>
      <c r="GH1730"/>
    </row>
    <row r="1731" spans="187:190" s="1" customFormat="1" ht="18" customHeight="1" x14ac:dyDescent="0.2">
      <c r="GE1731"/>
      <c r="GF1731"/>
      <c r="GG1731"/>
      <c r="GH1731"/>
    </row>
    <row r="1732" spans="187:190" s="1" customFormat="1" ht="18" customHeight="1" x14ac:dyDescent="0.2">
      <c r="GE1732"/>
      <c r="GF1732"/>
      <c r="GG1732"/>
      <c r="GH1732"/>
    </row>
    <row r="1733" spans="187:190" s="1" customFormat="1" ht="18" customHeight="1" x14ac:dyDescent="0.2">
      <c r="GE1733"/>
      <c r="GF1733"/>
      <c r="GG1733"/>
      <c r="GH1733"/>
    </row>
    <row r="1734" spans="187:190" s="1" customFormat="1" ht="18" customHeight="1" x14ac:dyDescent="0.2">
      <c r="GE1734"/>
      <c r="GF1734"/>
      <c r="GG1734"/>
      <c r="GH1734"/>
    </row>
    <row r="1735" spans="187:190" s="1" customFormat="1" ht="18" customHeight="1" x14ac:dyDescent="0.2">
      <c r="GE1735"/>
      <c r="GF1735"/>
      <c r="GG1735"/>
      <c r="GH1735"/>
    </row>
    <row r="1736" spans="187:190" s="1" customFormat="1" ht="18" customHeight="1" x14ac:dyDescent="0.2">
      <c r="GE1736"/>
      <c r="GF1736"/>
      <c r="GG1736"/>
      <c r="GH1736"/>
    </row>
    <row r="1737" spans="187:190" s="1" customFormat="1" ht="18" customHeight="1" x14ac:dyDescent="0.2">
      <c r="GE1737"/>
      <c r="GF1737"/>
      <c r="GG1737"/>
      <c r="GH1737"/>
    </row>
    <row r="1738" spans="187:190" s="1" customFormat="1" ht="18" customHeight="1" x14ac:dyDescent="0.2">
      <c r="GE1738"/>
      <c r="GF1738"/>
      <c r="GG1738"/>
      <c r="GH1738"/>
    </row>
    <row r="1739" spans="187:190" s="1" customFormat="1" ht="18" customHeight="1" x14ac:dyDescent="0.2">
      <c r="GE1739"/>
      <c r="GF1739"/>
      <c r="GG1739"/>
      <c r="GH1739"/>
    </row>
    <row r="1740" spans="187:190" s="1" customFormat="1" ht="18" customHeight="1" x14ac:dyDescent="0.2">
      <c r="GE1740"/>
      <c r="GF1740"/>
      <c r="GG1740"/>
      <c r="GH1740"/>
    </row>
    <row r="1741" spans="187:190" s="1" customFormat="1" ht="18" customHeight="1" x14ac:dyDescent="0.2">
      <c r="GE1741"/>
      <c r="GF1741"/>
      <c r="GG1741"/>
      <c r="GH1741"/>
    </row>
    <row r="1742" spans="187:190" s="1" customFormat="1" ht="18" customHeight="1" x14ac:dyDescent="0.2">
      <c r="GE1742"/>
      <c r="GF1742"/>
      <c r="GG1742"/>
      <c r="GH1742"/>
    </row>
    <row r="1743" spans="187:190" s="1" customFormat="1" ht="18" customHeight="1" x14ac:dyDescent="0.2">
      <c r="GE1743"/>
      <c r="GF1743"/>
      <c r="GG1743"/>
      <c r="GH1743"/>
    </row>
    <row r="1744" spans="187:190" s="1" customFormat="1" ht="18" customHeight="1" x14ac:dyDescent="0.2">
      <c r="GE1744"/>
      <c r="GF1744"/>
      <c r="GG1744"/>
      <c r="GH1744"/>
    </row>
    <row r="1745" spans="187:190" s="1" customFormat="1" ht="18" customHeight="1" x14ac:dyDescent="0.2">
      <c r="GE1745"/>
      <c r="GF1745"/>
      <c r="GG1745"/>
      <c r="GH1745"/>
    </row>
    <row r="1746" spans="187:190" s="1" customFormat="1" ht="18" customHeight="1" x14ac:dyDescent="0.2">
      <c r="GE1746"/>
      <c r="GF1746"/>
      <c r="GG1746"/>
      <c r="GH1746"/>
    </row>
    <row r="1747" spans="187:190" s="1" customFormat="1" ht="18" customHeight="1" x14ac:dyDescent="0.2">
      <c r="GE1747"/>
      <c r="GF1747"/>
      <c r="GG1747"/>
      <c r="GH1747"/>
    </row>
    <row r="1748" spans="187:190" s="1" customFormat="1" ht="18" customHeight="1" x14ac:dyDescent="0.2">
      <c r="GE1748"/>
      <c r="GF1748"/>
      <c r="GG1748"/>
      <c r="GH1748"/>
    </row>
    <row r="1749" spans="187:190" s="1" customFormat="1" ht="18" customHeight="1" x14ac:dyDescent="0.2">
      <c r="GE1749"/>
      <c r="GF1749"/>
      <c r="GG1749"/>
      <c r="GH1749"/>
    </row>
    <row r="1750" spans="187:190" s="1" customFormat="1" ht="18" customHeight="1" x14ac:dyDescent="0.2">
      <c r="GE1750"/>
      <c r="GF1750"/>
      <c r="GG1750"/>
      <c r="GH1750"/>
    </row>
    <row r="1751" spans="187:190" s="1" customFormat="1" ht="18" customHeight="1" x14ac:dyDescent="0.2">
      <c r="GE1751"/>
      <c r="GF1751"/>
      <c r="GG1751"/>
      <c r="GH1751"/>
    </row>
    <row r="1752" spans="187:190" s="1" customFormat="1" ht="18" customHeight="1" x14ac:dyDescent="0.2">
      <c r="GE1752"/>
      <c r="GF1752"/>
      <c r="GG1752"/>
      <c r="GH1752"/>
    </row>
    <row r="1753" spans="187:190" s="1" customFormat="1" ht="18" customHeight="1" x14ac:dyDescent="0.2">
      <c r="GE1753"/>
      <c r="GF1753"/>
      <c r="GG1753"/>
      <c r="GH1753"/>
    </row>
    <row r="1754" spans="187:190" s="1" customFormat="1" ht="18" customHeight="1" x14ac:dyDescent="0.2">
      <c r="GE1754"/>
      <c r="GF1754"/>
      <c r="GG1754"/>
      <c r="GH1754"/>
    </row>
    <row r="1755" spans="187:190" s="1" customFormat="1" ht="18" customHeight="1" x14ac:dyDescent="0.2">
      <c r="GE1755"/>
      <c r="GF1755"/>
      <c r="GG1755"/>
      <c r="GH1755"/>
    </row>
    <row r="1756" spans="187:190" s="1" customFormat="1" ht="18" customHeight="1" x14ac:dyDescent="0.2">
      <c r="GE1756"/>
      <c r="GF1756"/>
      <c r="GG1756"/>
      <c r="GH1756"/>
    </row>
    <row r="1757" spans="187:190" s="1" customFormat="1" ht="18" customHeight="1" x14ac:dyDescent="0.2">
      <c r="GE1757"/>
      <c r="GF1757"/>
      <c r="GG1757"/>
      <c r="GH1757"/>
    </row>
    <row r="1758" spans="187:190" s="1" customFormat="1" ht="18" customHeight="1" x14ac:dyDescent="0.2">
      <c r="GE1758"/>
      <c r="GF1758"/>
      <c r="GG1758"/>
      <c r="GH1758"/>
    </row>
    <row r="1759" spans="187:190" s="1" customFormat="1" ht="18" customHeight="1" x14ac:dyDescent="0.2">
      <c r="GE1759"/>
      <c r="GF1759"/>
      <c r="GG1759"/>
      <c r="GH1759"/>
    </row>
    <row r="1760" spans="187:190" s="1" customFormat="1" ht="18" customHeight="1" x14ac:dyDescent="0.2">
      <c r="GE1760"/>
      <c r="GF1760"/>
      <c r="GG1760"/>
      <c r="GH1760"/>
    </row>
    <row r="1761" spans="187:190" s="1" customFormat="1" ht="18" customHeight="1" x14ac:dyDescent="0.2">
      <c r="GE1761"/>
      <c r="GF1761"/>
      <c r="GG1761"/>
      <c r="GH1761"/>
    </row>
    <row r="1762" spans="187:190" s="1" customFormat="1" ht="18" customHeight="1" x14ac:dyDescent="0.2">
      <c r="GE1762"/>
      <c r="GF1762"/>
      <c r="GG1762"/>
      <c r="GH1762"/>
    </row>
    <row r="1763" spans="187:190" s="1" customFormat="1" ht="18" customHeight="1" x14ac:dyDescent="0.2">
      <c r="GE1763"/>
      <c r="GF1763"/>
      <c r="GG1763"/>
      <c r="GH1763"/>
    </row>
    <row r="1764" spans="187:190" s="1" customFormat="1" ht="18" customHeight="1" x14ac:dyDescent="0.2">
      <c r="GE1764"/>
      <c r="GF1764"/>
      <c r="GG1764"/>
      <c r="GH1764"/>
    </row>
    <row r="1765" spans="187:190" s="1" customFormat="1" ht="18" customHeight="1" x14ac:dyDescent="0.2">
      <c r="GE1765"/>
      <c r="GF1765"/>
      <c r="GG1765"/>
      <c r="GH1765"/>
    </row>
    <row r="1766" spans="187:190" s="1" customFormat="1" ht="18" customHeight="1" x14ac:dyDescent="0.2">
      <c r="GE1766"/>
      <c r="GF1766"/>
      <c r="GG1766"/>
      <c r="GH1766"/>
    </row>
    <row r="1767" spans="187:190" s="1" customFormat="1" ht="18" customHeight="1" x14ac:dyDescent="0.2">
      <c r="GE1767"/>
      <c r="GF1767"/>
      <c r="GG1767"/>
      <c r="GH1767"/>
    </row>
    <row r="1768" spans="187:190" s="1" customFormat="1" ht="18" customHeight="1" x14ac:dyDescent="0.2">
      <c r="GE1768"/>
      <c r="GF1768"/>
      <c r="GG1768"/>
      <c r="GH1768"/>
    </row>
    <row r="1769" spans="187:190" s="1" customFormat="1" ht="18" customHeight="1" x14ac:dyDescent="0.2">
      <c r="GE1769"/>
      <c r="GF1769"/>
      <c r="GG1769"/>
      <c r="GH1769"/>
    </row>
    <row r="1770" spans="187:190" s="1" customFormat="1" ht="18" customHeight="1" x14ac:dyDescent="0.2">
      <c r="GE1770"/>
      <c r="GF1770"/>
      <c r="GG1770"/>
      <c r="GH1770"/>
    </row>
    <row r="1771" spans="187:190" s="1" customFormat="1" ht="18" customHeight="1" x14ac:dyDescent="0.2">
      <c r="GE1771"/>
      <c r="GF1771"/>
      <c r="GG1771"/>
      <c r="GH1771"/>
    </row>
    <row r="1772" spans="187:190" s="1" customFormat="1" ht="18" customHeight="1" x14ac:dyDescent="0.2">
      <c r="GE1772"/>
      <c r="GF1772"/>
      <c r="GG1772"/>
      <c r="GH1772"/>
    </row>
    <row r="1773" spans="187:190" s="1" customFormat="1" ht="18" customHeight="1" x14ac:dyDescent="0.2">
      <c r="GE1773"/>
      <c r="GF1773"/>
      <c r="GG1773"/>
      <c r="GH1773"/>
    </row>
    <row r="1774" spans="187:190" s="1" customFormat="1" ht="18" customHeight="1" x14ac:dyDescent="0.2">
      <c r="GE1774"/>
      <c r="GF1774"/>
      <c r="GG1774"/>
      <c r="GH1774"/>
    </row>
    <row r="1775" spans="187:190" s="1" customFormat="1" ht="18" customHeight="1" x14ac:dyDescent="0.2">
      <c r="GE1775"/>
      <c r="GF1775"/>
      <c r="GG1775"/>
      <c r="GH1775"/>
    </row>
    <row r="1776" spans="187:190" s="1" customFormat="1" ht="18" customHeight="1" x14ac:dyDescent="0.2">
      <c r="GE1776"/>
      <c r="GF1776"/>
      <c r="GG1776"/>
      <c r="GH1776"/>
    </row>
    <row r="1777" spans="187:190" s="1" customFormat="1" ht="18" customHeight="1" x14ac:dyDescent="0.2">
      <c r="GE1777"/>
      <c r="GF1777"/>
      <c r="GG1777"/>
      <c r="GH1777"/>
    </row>
    <row r="1778" spans="187:190" s="1" customFormat="1" ht="18" customHeight="1" x14ac:dyDescent="0.2">
      <c r="GE1778"/>
      <c r="GF1778"/>
      <c r="GG1778"/>
      <c r="GH1778"/>
    </row>
    <row r="1779" spans="187:190" s="1" customFormat="1" ht="18" customHeight="1" x14ac:dyDescent="0.2">
      <c r="GE1779"/>
      <c r="GF1779"/>
      <c r="GG1779"/>
      <c r="GH1779"/>
    </row>
    <row r="1780" spans="187:190" s="1" customFormat="1" ht="18" customHeight="1" x14ac:dyDescent="0.2">
      <c r="GE1780"/>
      <c r="GF1780"/>
      <c r="GG1780"/>
      <c r="GH1780"/>
    </row>
    <row r="1781" spans="187:190" s="1" customFormat="1" ht="18" customHeight="1" x14ac:dyDescent="0.2">
      <c r="GE1781"/>
      <c r="GF1781"/>
      <c r="GG1781"/>
      <c r="GH1781"/>
    </row>
    <row r="1782" spans="187:190" s="1" customFormat="1" ht="18" customHeight="1" x14ac:dyDescent="0.2">
      <c r="GE1782"/>
      <c r="GF1782"/>
      <c r="GG1782"/>
      <c r="GH1782"/>
    </row>
    <row r="1783" spans="187:190" s="1" customFormat="1" ht="18" customHeight="1" x14ac:dyDescent="0.2">
      <c r="GE1783"/>
      <c r="GF1783"/>
      <c r="GG1783"/>
      <c r="GH1783"/>
    </row>
    <row r="1784" spans="187:190" s="1" customFormat="1" ht="18" customHeight="1" x14ac:dyDescent="0.2">
      <c r="GE1784"/>
      <c r="GF1784"/>
      <c r="GG1784"/>
      <c r="GH1784"/>
    </row>
    <row r="1785" spans="187:190" s="1" customFormat="1" ht="18" customHeight="1" x14ac:dyDescent="0.2">
      <c r="GE1785"/>
      <c r="GF1785"/>
      <c r="GG1785"/>
      <c r="GH1785"/>
    </row>
    <row r="1786" spans="187:190" s="1" customFormat="1" ht="18" customHeight="1" x14ac:dyDescent="0.2">
      <c r="GE1786"/>
      <c r="GF1786"/>
      <c r="GG1786"/>
      <c r="GH1786"/>
    </row>
    <row r="1787" spans="187:190" s="1" customFormat="1" ht="18" customHeight="1" x14ac:dyDescent="0.2">
      <c r="GE1787"/>
      <c r="GF1787"/>
      <c r="GG1787"/>
      <c r="GH1787"/>
    </row>
    <row r="1788" spans="187:190" s="1" customFormat="1" ht="18" customHeight="1" x14ac:dyDescent="0.2">
      <c r="GE1788"/>
      <c r="GF1788"/>
      <c r="GG1788"/>
      <c r="GH1788"/>
    </row>
    <row r="1789" spans="187:190" s="1" customFormat="1" ht="18" customHeight="1" x14ac:dyDescent="0.2">
      <c r="GE1789"/>
      <c r="GF1789"/>
      <c r="GG1789"/>
      <c r="GH1789"/>
    </row>
    <row r="1790" spans="187:190" s="1" customFormat="1" ht="18" customHeight="1" x14ac:dyDescent="0.2">
      <c r="GE1790"/>
      <c r="GF1790"/>
      <c r="GG1790"/>
      <c r="GH1790"/>
    </row>
    <row r="1791" spans="187:190" s="1" customFormat="1" ht="18" customHeight="1" x14ac:dyDescent="0.2">
      <c r="GE1791"/>
      <c r="GF1791"/>
      <c r="GG1791"/>
      <c r="GH1791"/>
    </row>
    <row r="1792" spans="187:190" s="1" customFormat="1" ht="18" customHeight="1" x14ac:dyDescent="0.2">
      <c r="GE1792"/>
      <c r="GF1792"/>
      <c r="GG1792"/>
      <c r="GH1792"/>
    </row>
    <row r="1793" spans="187:190" s="1" customFormat="1" ht="18" customHeight="1" x14ac:dyDescent="0.2">
      <c r="GE1793"/>
      <c r="GF1793"/>
      <c r="GG1793"/>
      <c r="GH1793"/>
    </row>
    <row r="1794" spans="187:190" s="1" customFormat="1" ht="18" customHeight="1" x14ac:dyDescent="0.2">
      <c r="GE1794"/>
      <c r="GF1794"/>
      <c r="GG1794"/>
      <c r="GH1794"/>
    </row>
    <row r="1795" spans="187:190" s="1" customFormat="1" ht="18" customHeight="1" x14ac:dyDescent="0.2">
      <c r="GE1795"/>
      <c r="GF1795"/>
      <c r="GG1795"/>
      <c r="GH1795"/>
    </row>
    <row r="1796" spans="187:190" s="1" customFormat="1" ht="18" customHeight="1" x14ac:dyDescent="0.2">
      <c r="GE1796"/>
      <c r="GF1796"/>
      <c r="GG1796"/>
      <c r="GH1796"/>
    </row>
    <row r="1797" spans="187:190" s="1" customFormat="1" ht="18" customHeight="1" x14ac:dyDescent="0.2">
      <c r="GE1797"/>
      <c r="GF1797"/>
      <c r="GG1797"/>
      <c r="GH1797"/>
    </row>
    <row r="1798" spans="187:190" s="1" customFormat="1" ht="18" customHeight="1" x14ac:dyDescent="0.2">
      <c r="GE1798"/>
      <c r="GF1798"/>
      <c r="GG1798"/>
      <c r="GH1798"/>
    </row>
    <row r="1799" spans="187:190" s="1" customFormat="1" ht="18" customHeight="1" x14ac:dyDescent="0.2">
      <c r="GE1799"/>
      <c r="GF1799"/>
      <c r="GG1799"/>
      <c r="GH1799"/>
    </row>
    <row r="1800" spans="187:190" s="1" customFormat="1" ht="18" customHeight="1" x14ac:dyDescent="0.2">
      <c r="GE1800"/>
      <c r="GF1800"/>
      <c r="GG1800"/>
      <c r="GH1800"/>
    </row>
    <row r="1801" spans="187:190" s="1" customFormat="1" ht="18" customHeight="1" x14ac:dyDescent="0.2">
      <c r="GE1801"/>
      <c r="GF1801"/>
      <c r="GG1801"/>
      <c r="GH1801"/>
    </row>
    <row r="1802" spans="187:190" s="1" customFormat="1" ht="18" customHeight="1" x14ac:dyDescent="0.2">
      <c r="GE1802"/>
      <c r="GF1802"/>
      <c r="GG1802"/>
      <c r="GH1802"/>
    </row>
    <row r="1803" spans="187:190" s="1" customFormat="1" ht="18" customHeight="1" x14ac:dyDescent="0.2">
      <c r="GE1803"/>
      <c r="GF1803"/>
      <c r="GG1803"/>
      <c r="GH1803"/>
    </row>
    <row r="1804" spans="187:190" s="1" customFormat="1" ht="18" customHeight="1" x14ac:dyDescent="0.2">
      <c r="GE1804"/>
      <c r="GF1804"/>
      <c r="GG1804"/>
      <c r="GH1804"/>
    </row>
    <row r="1805" spans="187:190" s="1" customFormat="1" ht="18" customHeight="1" x14ac:dyDescent="0.2">
      <c r="GE1805"/>
      <c r="GF1805"/>
      <c r="GG1805"/>
      <c r="GH1805"/>
    </row>
    <row r="1806" spans="187:190" s="1" customFormat="1" ht="18" customHeight="1" x14ac:dyDescent="0.2">
      <c r="GE1806"/>
      <c r="GF1806"/>
      <c r="GG1806"/>
      <c r="GH1806"/>
    </row>
    <row r="1807" spans="187:190" s="1" customFormat="1" ht="18" customHeight="1" x14ac:dyDescent="0.2">
      <c r="GE1807"/>
      <c r="GF1807"/>
      <c r="GG1807"/>
      <c r="GH1807"/>
    </row>
    <row r="1808" spans="187:190" s="1" customFormat="1" ht="18" customHeight="1" x14ac:dyDescent="0.2">
      <c r="GE1808"/>
      <c r="GF1808"/>
      <c r="GG1808"/>
      <c r="GH1808"/>
    </row>
    <row r="1809" spans="187:190" s="1" customFormat="1" ht="18" customHeight="1" x14ac:dyDescent="0.2">
      <c r="GE1809"/>
      <c r="GF1809"/>
      <c r="GG1809"/>
      <c r="GH1809"/>
    </row>
    <row r="1810" spans="187:190" s="1" customFormat="1" ht="18" customHeight="1" x14ac:dyDescent="0.2">
      <c r="GE1810"/>
      <c r="GF1810"/>
      <c r="GG1810"/>
      <c r="GH1810"/>
    </row>
    <row r="1811" spans="187:190" s="1" customFormat="1" ht="18" customHeight="1" x14ac:dyDescent="0.2">
      <c r="GE1811"/>
      <c r="GF1811"/>
      <c r="GG1811"/>
      <c r="GH1811"/>
    </row>
    <row r="1812" spans="187:190" s="1" customFormat="1" ht="18" customHeight="1" x14ac:dyDescent="0.2">
      <c r="GE1812"/>
      <c r="GF1812"/>
      <c r="GG1812"/>
      <c r="GH1812"/>
    </row>
    <row r="1813" spans="187:190" s="1" customFormat="1" ht="18" customHeight="1" x14ac:dyDescent="0.2">
      <c r="GE1813"/>
      <c r="GF1813"/>
      <c r="GG1813"/>
      <c r="GH1813"/>
    </row>
    <row r="1814" spans="187:190" s="1" customFormat="1" ht="18" customHeight="1" x14ac:dyDescent="0.2">
      <c r="GE1814"/>
      <c r="GF1814"/>
      <c r="GG1814"/>
      <c r="GH1814"/>
    </row>
    <row r="1815" spans="187:190" s="1" customFormat="1" ht="18" customHeight="1" x14ac:dyDescent="0.2">
      <c r="GE1815"/>
      <c r="GF1815"/>
      <c r="GG1815"/>
      <c r="GH1815"/>
    </row>
    <row r="1816" spans="187:190" s="1" customFormat="1" ht="18" customHeight="1" x14ac:dyDescent="0.2">
      <c r="GE1816"/>
      <c r="GF1816"/>
      <c r="GG1816"/>
      <c r="GH1816"/>
    </row>
    <row r="1817" spans="187:190" s="1" customFormat="1" ht="18" customHeight="1" x14ac:dyDescent="0.2">
      <c r="GE1817"/>
      <c r="GF1817"/>
      <c r="GG1817"/>
      <c r="GH1817"/>
    </row>
    <row r="1818" spans="187:190" s="1" customFormat="1" ht="18" customHeight="1" x14ac:dyDescent="0.2">
      <c r="GE1818"/>
      <c r="GF1818"/>
      <c r="GG1818"/>
      <c r="GH1818"/>
    </row>
    <row r="1819" spans="187:190" s="1" customFormat="1" ht="18" customHeight="1" x14ac:dyDescent="0.2">
      <c r="GE1819"/>
      <c r="GF1819"/>
      <c r="GG1819"/>
      <c r="GH1819"/>
    </row>
    <row r="1820" spans="187:190" s="1" customFormat="1" ht="18" customHeight="1" x14ac:dyDescent="0.2">
      <c r="GE1820"/>
      <c r="GF1820"/>
      <c r="GG1820"/>
      <c r="GH1820"/>
    </row>
    <row r="1821" spans="187:190" s="1" customFormat="1" ht="18" customHeight="1" x14ac:dyDescent="0.2">
      <c r="GE1821"/>
      <c r="GF1821"/>
      <c r="GG1821"/>
      <c r="GH1821"/>
    </row>
    <row r="1822" spans="187:190" s="1" customFormat="1" ht="18" customHeight="1" x14ac:dyDescent="0.2">
      <c r="GE1822"/>
      <c r="GF1822"/>
      <c r="GG1822"/>
      <c r="GH1822"/>
    </row>
    <row r="1823" spans="187:190" s="1" customFormat="1" ht="18" customHeight="1" x14ac:dyDescent="0.2">
      <c r="GE1823"/>
      <c r="GF1823"/>
      <c r="GG1823"/>
      <c r="GH1823"/>
    </row>
    <row r="1824" spans="187:190" s="1" customFormat="1" ht="18" customHeight="1" x14ac:dyDescent="0.2">
      <c r="GE1824"/>
      <c r="GF1824"/>
      <c r="GG1824"/>
      <c r="GH1824"/>
    </row>
    <row r="1825" spans="187:190" s="1" customFormat="1" ht="18" customHeight="1" x14ac:dyDescent="0.2">
      <c r="GE1825"/>
      <c r="GF1825"/>
      <c r="GG1825"/>
      <c r="GH1825"/>
    </row>
    <row r="1826" spans="187:190" s="1" customFormat="1" ht="18" customHeight="1" x14ac:dyDescent="0.2">
      <c r="GE1826"/>
      <c r="GF1826"/>
      <c r="GG1826"/>
      <c r="GH1826"/>
    </row>
    <row r="1827" spans="187:190" s="1" customFormat="1" ht="18" customHeight="1" x14ac:dyDescent="0.2">
      <c r="GE1827"/>
      <c r="GF1827"/>
      <c r="GG1827"/>
      <c r="GH1827"/>
    </row>
    <row r="1828" spans="187:190" s="1" customFormat="1" ht="18" customHeight="1" x14ac:dyDescent="0.2">
      <c r="GE1828"/>
      <c r="GF1828"/>
      <c r="GG1828"/>
      <c r="GH1828"/>
    </row>
    <row r="1829" spans="187:190" s="1" customFormat="1" ht="18" customHeight="1" x14ac:dyDescent="0.2">
      <c r="GE1829"/>
      <c r="GF1829"/>
      <c r="GG1829"/>
      <c r="GH1829"/>
    </row>
    <row r="1830" spans="187:190" s="1" customFormat="1" ht="18" customHeight="1" x14ac:dyDescent="0.2">
      <c r="GE1830"/>
      <c r="GF1830"/>
      <c r="GG1830"/>
      <c r="GH1830"/>
    </row>
    <row r="1831" spans="187:190" s="1" customFormat="1" ht="18" customHeight="1" x14ac:dyDescent="0.2">
      <c r="GE1831"/>
      <c r="GF1831"/>
      <c r="GG1831"/>
      <c r="GH1831"/>
    </row>
    <row r="1832" spans="187:190" s="1" customFormat="1" ht="18" customHeight="1" x14ac:dyDescent="0.2">
      <c r="GE1832"/>
      <c r="GF1832"/>
      <c r="GG1832"/>
      <c r="GH1832"/>
    </row>
    <row r="1833" spans="187:190" s="1" customFormat="1" ht="18" customHeight="1" x14ac:dyDescent="0.2">
      <c r="GE1833"/>
      <c r="GF1833"/>
      <c r="GG1833"/>
      <c r="GH1833"/>
    </row>
    <row r="1834" spans="187:190" s="1" customFormat="1" ht="18" customHeight="1" x14ac:dyDescent="0.2">
      <c r="GE1834"/>
      <c r="GF1834"/>
      <c r="GG1834"/>
      <c r="GH1834"/>
    </row>
    <row r="1835" spans="187:190" s="1" customFormat="1" ht="18" customHeight="1" x14ac:dyDescent="0.2">
      <c r="GE1835"/>
      <c r="GF1835"/>
      <c r="GG1835"/>
      <c r="GH1835"/>
    </row>
    <row r="1836" spans="187:190" s="1" customFormat="1" ht="18" customHeight="1" x14ac:dyDescent="0.2">
      <c r="GE1836"/>
      <c r="GF1836"/>
      <c r="GG1836"/>
      <c r="GH1836"/>
    </row>
    <row r="1837" spans="187:190" s="1" customFormat="1" ht="18" customHeight="1" x14ac:dyDescent="0.2">
      <c r="GE1837"/>
      <c r="GF1837"/>
      <c r="GG1837"/>
      <c r="GH1837"/>
    </row>
    <row r="1838" spans="187:190" s="1" customFormat="1" ht="18" customHeight="1" x14ac:dyDescent="0.2">
      <c r="GE1838"/>
      <c r="GF1838"/>
      <c r="GG1838"/>
      <c r="GH1838"/>
    </row>
    <row r="1839" spans="187:190" s="1" customFormat="1" ht="18" customHeight="1" x14ac:dyDescent="0.2">
      <c r="GE1839"/>
      <c r="GF1839"/>
      <c r="GG1839"/>
      <c r="GH1839"/>
    </row>
    <row r="1840" spans="187:190" s="1" customFormat="1" ht="18" customHeight="1" x14ac:dyDescent="0.2">
      <c r="GE1840"/>
      <c r="GF1840"/>
      <c r="GG1840"/>
      <c r="GH1840"/>
    </row>
    <row r="1841" spans="187:190" s="1" customFormat="1" ht="18" customHeight="1" x14ac:dyDescent="0.2">
      <c r="GE1841"/>
      <c r="GF1841"/>
      <c r="GG1841"/>
      <c r="GH1841"/>
    </row>
    <row r="1842" spans="187:190" s="1" customFormat="1" ht="18" customHeight="1" x14ac:dyDescent="0.2">
      <c r="GE1842"/>
      <c r="GF1842"/>
      <c r="GG1842"/>
      <c r="GH1842"/>
    </row>
    <row r="1843" spans="187:190" s="1" customFormat="1" ht="18" customHeight="1" x14ac:dyDescent="0.2">
      <c r="GE1843"/>
      <c r="GF1843"/>
      <c r="GG1843"/>
      <c r="GH1843"/>
    </row>
    <row r="1844" spans="187:190" s="1" customFormat="1" ht="18" customHeight="1" x14ac:dyDescent="0.2">
      <c r="GE1844"/>
      <c r="GF1844"/>
      <c r="GG1844"/>
      <c r="GH1844"/>
    </row>
    <row r="1845" spans="187:190" s="1" customFormat="1" ht="18" customHeight="1" x14ac:dyDescent="0.2">
      <c r="GE1845"/>
      <c r="GF1845"/>
      <c r="GG1845"/>
      <c r="GH1845"/>
    </row>
    <row r="1846" spans="187:190" s="1" customFormat="1" ht="18" customHeight="1" x14ac:dyDescent="0.2">
      <c r="GE1846"/>
      <c r="GF1846"/>
      <c r="GG1846"/>
      <c r="GH1846"/>
    </row>
    <row r="1847" spans="187:190" s="1" customFormat="1" ht="18" customHeight="1" x14ac:dyDescent="0.2">
      <c r="GE1847"/>
      <c r="GF1847"/>
      <c r="GG1847"/>
      <c r="GH1847"/>
    </row>
    <row r="1848" spans="187:190" s="1" customFormat="1" ht="18" customHeight="1" x14ac:dyDescent="0.2">
      <c r="GE1848"/>
      <c r="GF1848"/>
      <c r="GG1848"/>
      <c r="GH1848"/>
    </row>
    <row r="1849" spans="187:190" s="1" customFormat="1" ht="18" customHeight="1" x14ac:dyDescent="0.2">
      <c r="GE1849"/>
      <c r="GF1849"/>
      <c r="GG1849"/>
      <c r="GH1849"/>
    </row>
    <row r="1850" spans="187:190" s="1" customFormat="1" ht="18" customHeight="1" x14ac:dyDescent="0.2">
      <c r="GE1850"/>
      <c r="GF1850"/>
      <c r="GG1850"/>
      <c r="GH1850"/>
    </row>
    <row r="1851" spans="187:190" s="1" customFormat="1" ht="18" customHeight="1" x14ac:dyDescent="0.2">
      <c r="GE1851"/>
      <c r="GF1851"/>
      <c r="GG1851"/>
      <c r="GH1851"/>
    </row>
    <row r="1852" spans="187:190" s="1" customFormat="1" ht="18" customHeight="1" x14ac:dyDescent="0.2">
      <c r="GE1852"/>
      <c r="GF1852"/>
      <c r="GG1852"/>
      <c r="GH1852"/>
    </row>
    <row r="1853" spans="187:190" s="1" customFormat="1" ht="18" customHeight="1" x14ac:dyDescent="0.2">
      <c r="GE1853"/>
      <c r="GF1853"/>
      <c r="GG1853"/>
      <c r="GH1853"/>
    </row>
    <row r="1854" spans="187:190" s="1" customFormat="1" ht="18" customHeight="1" x14ac:dyDescent="0.2">
      <c r="GE1854"/>
      <c r="GF1854"/>
      <c r="GG1854"/>
      <c r="GH1854"/>
    </row>
    <row r="1855" spans="187:190" s="1" customFormat="1" ht="18" customHeight="1" x14ac:dyDescent="0.2">
      <c r="GE1855"/>
      <c r="GF1855"/>
      <c r="GG1855"/>
      <c r="GH1855"/>
    </row>
    <row r="1856" spans="187:190" s="1" customFormat="1" ht="18" customHeight="1" x14ac:dyDescent="0.2">
      <c r="GE1856"/>
      <c r="GF1856"/>
      <c r="GG1856"/>
      <c r="GH1856"/>
    </row>
    <row r="1857" spans="187:190" s="1" customFormat="1" ht="18" customHeight="1" x14ac:dyDescent="0.2">
      <c r="GE1857"/>
      <c r="GF1857"/>
      <c r="GG1857"/>
      <c r="GH1857"/>
    </row>
    <row r="1858" spans="187:190" s="1" customFormat="1" ht="18" customHeight="1" x14ac:dyDescent="0.2">
      <c r="GE1858"/>
      <c r="GF1858"/>
      <c r="GG1858"/>
      <c r="GH1858"/>
    </row>
    <row r="1859" spans="187:190" s="1" customFormat="1" ht="18" customHeight="1" x14ac:dyDescent="0.2">
      <c r="GE1859"/>
      <c r="GF1859"/>
      <c r="GG1859"/>
      <c r="GH1859"/>
    </row>
    <row r="1860" spans="187:190" s="1" customFormat="1" ht="18" customHeight="1" x14ac:dyDescent="0.2">
      <c r="GE1860"/>
      <c r="GF1860"/>
      <c r="GG1860"/>
      <c r="GH1860"/>
    </row>
    <row r="1861" spans="187:190" s="1" customFormat="1" ht="18" customHeight="1" x14ac:dyDescent="0.2">
      <c r="GE1861"/>
      <c r="GF1861"/>
      <c r="GG1861"/>
      <c r="GH1861"/>
    </row>
    <row r="1862" spans="187:190" s="1" customFormat="1" ht="18" customHeight="1" x14ac:dyDescent="0.2">
      <c r="GE1862"/>
      <c r="GF1862"/>
      <c r="GG1862"/>
      <c r="GH1862"/>
    </row>
    <row r="1863" spans="187:190" s="1" customFormat="1" ht="18" customHeight="1" x14ac:dyDescent="0.2">
      <c r="GE1863"/>
      <c r="GF1863"/>
      <c r="GG1863"/>
      <c r="GH1863"/>
    </row>
    <row r="1864" spans="187:190" s="1" customFormat="1" ht="18" customHeight="1" x14ac:dyDescent="0.2">
      <c r="GE1864"/>
      <c r="GF1864"/>
      <c r="GG1864"/>
      <c r="GH1864"/>
    </row>
    <row r="1865" spans="187:190" s="1" customFormat="1" ht="18" customHeight="1" x14ac:dyDescent="0.2">
      <c r="GE1865"/>
      <c r="GF1865"/>
      <c r="GG1865"/>
      <c r="GH1865"/>
    </row>
    <row r="1866" spans="187:190" s="1" customFormat="1" ht="18" customHeight="1" x14ac:dyDescent="0.2">
      <c r="GE1866"/>
      <c r="GF1866"/>
      <c r="GG1866"/>
      <c r="GH1866"/>
    </row>
    <row r="1867" spans="187:190" s="1" customFormat="1" ht="18" customHeight="1" x14ac:dyDescent="0.2">
      <c r="GE1867"/>
      <c r="GF1867"/>
      <c r="GG1867"/>
      <c r="GH1867"/>
    </row>
    <row r="1868" spans="187:190" s="1" customFormat="1" ht="18" customHeight="1" x14ac:dyDescent="0.2">
      <c r="GE1868"/>
      <c r="GF1868"/>
      <c r="GG1868"/>
      <c r="GH1868"/>
    </row>
    <row r="1869" spans="187:190" s="1" customFormat="1" ht="18" customHeight="1" x14ac:dyDescent="0.2">
      <c r="GE1869"/>
      <c r="GF1869"/>
      <c r="GG1869"/>
      <c r="GH1869"/>
    </row>
    <row r="1870" spans="187:190" s="1" customFormat="1" ht="18" customHeight="1" x14ac:dyDescent="0.2">
      <c r="GE1870"/>
      <c r="GF1870"/>
      <c r="GG1870"/>
      <c r="GH1870"/>
    </row>
    <row r="1871" spans="187:190" s="1" customFormat="1" ht="18" customHeight="1" x14ac:dyDescent="0.2">
      <c r="GE1871"/>
      <c r="GF1871"/>
      <c r="GG1871"/>
      <c r="GH1871"/>
    </row>
    <row r="1872" spans="187:190" s="1" customFormat="1" ht="18" customHeight="1" x14ac:dyDescent="0.2">
      <c r="GE1872"/>
      <c r="GF1872"/>
      <c r="GG1872"/>
      <c r="GH1872"/>
    </row>
    <row r="1873" spans="187:190" s="1" customFormat="1" ht="18" customHeight="1" x14ac:dyDescent="0.2">
      <c r="GE1873"/>
      <c r="GF1873"/>
      <c r="GG1873"/>
      <c r="GH1873"/>
    </row>
    <row r="1874" spans="187:190" s="1" customFormat="1" ht="18" customHeight="1" x14ac:dyDescent="0.2">
      <c r="GE1874"/>
      <c r="GF1874"/>
      <c r="GG1874"/>
      <c r="GH1874"/>
    </row>
    <row r="1875" spans="187:190" s="1" customFormat="1" ht="18" customHeight="1" x14ac:dyDescent="0.2">
      <c r="GE1875"/>
      <c r="GF1875"/>
      <c r="GG1875"/>
      <c r="GH1875"/>
    </row>
    <row r="1876" spans="187:190" s="1" customFormat="1" ht="18" customHeight="1" x14ac:dyDescent="0.2">
      <c r="GE1876"/>
      <c r="GF1876"/>
      <c r="GG1876"/>
      <c r="GH1876"/>
    </row>
    <row r="1877" spans="187:190" s="1" customFormat="1" ht="18" customHeight="1" x14ac:dyDescent="0.2">
      <c r="GE1877"/>
      <c r="GF1877"/>
      <c r="GG1877"/>
      <c r="GH1877"/>
    </row>
    <row r="1878" spans="187:190" s="1" customFormat="1" ht="18" customHeight="1" x14ac:dyDescent="0.2">
      <c r="GE1878"/>
      <c r="GF1878"/>
      <c r="GG1878"/>
      <c r="GH1878"/>
    </row>
    <row r="1879" spans="187:190" s="1" customFormat="1" ht="18" customHeight="1" x14ac:dyDescent="0.2">
      <c r="GE1879"/>
      <c r="GF1879"/>
      <c r="GG1879"/>
      <c r="GH1879"/>
    </row>
    <row r="1880" spans="187:190" s="1" customFormat="1" ht="18" customHeight="1" x14ac:dyDescent="0.2">
      <c r="GE1880"/>
      <c r="GF1880"/>
      <c r="GG1880"/>
      <c r="GH1880"/>
    </row>
    <row r="1881" spans="187:190" s="1" customFormat="1" ht="18" customHeight="1" x14ac:dyDescent="0.2">
      <c r="GE1881"/>
      <c r="GF1881"/>
      <c r="GG1881"/>
      <c r="GH1881"/>
    </row>
    <row r="1882" spans="187:190" s="1" customFormat="1" ht="18" customHeight="1" x14ac:dyDescent="0.2">
      <c r="GE1882"/>
      <c r="GF1882"/>
      <c r="GG1882"/>
      <c r="GH1882"/>
    </row>
    <row r="1883" spans="187:190" s="1" customFormat="1" ht="18" customHeight="1" x14ac:dyDescent="0.2">
      <c r="GE1883"/>
      <c r="GF1883"/>
      <c r="GG1883"/>
      <c r="GH1883"/>
    </row>
    <row r="1884" spans="187:190" s="1" customFormat="1" ht="18" customHeight="1" x14ac:dyDescent="0.2">
      <c r="GE1884"/>
      <c r="GF1884"/>
      <c r="GG1884"/>
      <c r="GH1884"/>
    </row>
    <row r="1885" spans="187:190" s="1" customFormat="1" ht="18" customHeight="1" x14ac:dyDescent="0.2">
      <c r="GE1885"/>
      <c r="GF1885"/>
      <c r="GG1885"/>
      <c r="GH1885"/>
    </row>
    <row r="1886" spans="187:190" s="1" customFormat="1" ht="18" customHeight="1" x14ac:dyDescent="0.2">
      <c r="GE1886"/>
      <c r="GF1886"/>
      <c r="GG1886"/>
      <c r="GH1886"/>
    </row>
    <row r="1887" spans="187:190" s="1" customFormat="1" ht="18" customHeight="1" x14ac:dyDescent="0.2">
      <c r="GE1887"/>
      <c r="GF1887"/>
      <c r="GG1887"/>
      <c r="GH1887"/>
    </row>
    <row r="1888" spans="187:190" s="1" customFormat="1" ht="18" customHeight="1" x14ac:dyDescent="0.2">
      <c r="GE1888"/>
      <c r="GF1888"/>
      <c r="GG1888"/>
      <c r="GH1888"/>
    </row>
    <row r="1889" spans="187:190" s="1" customFormat="1" ht="18" customHeight="1" x14ac:dyDescent="0.2">
      <c r="GE1889"/>
      <c r="GF1889"/>
      <c r="GG1889"/>
      <c r="GH1889"/>
    </row>
    <row r="1890" spans="187:190" s="1" customFormat="1" ht="18" customHeight="1" x14ac:dyDescent="0.2">
      <c r="GE1890"/>
      <c r="GF1890"/>
      <c r="GG1890"/>
      <c r="GH1890"/>
    </row>
    <row r="1891" spans="187:190" s="1" customFormat="1" ht="18" customHeight="1" x14ac:dyDescent="0.2">
      <c r="GE1891"/>
      <c r="GF1891"/>
      <c r="GG1891"/>
      <c r="GH1891"/>
    </row>
    <row r="1892" spans="187:190" s="1" customFormat="1" ht="18" customHeight="1" x14ac:dyDescent="0.2">
      <c r="GE1892"/>
      <c r="GF1892"/>
      <c r="GG1892"/>
      <c r="GH1892"/>
    </row>
    <row r="1893" spans="187:190" s="1" customFormat="1" ht="18" customHeight="1" x14ac:dyDescent="0.2">
      <c r="GE1893"/>
      <c r="GF1893"/>
      <c r="GG1893"/>
      <c r="GH1893"/>
    </row>
    <row r="1894" spans="187:190" s="1" customFormat="1" ht="18" customHeight="1" x14ac:dyDescent="0.2">
      <c r="GE1894"/>
      <c r="GF1894"/>
      <c r="GG1894"/>
      <c r="GH1894"/>
    </row>
    <row r="1895" spans="187:190" s="1" customFormat="1" ht="18" customHeight="1" x14ac:dyDescent="0.2">
      <c r="GE1895"/>
      <c r="GF1895"/>
      <c r="GG1895"/>
      <c r="GH1895"/>
    </row>
    <row r="1896" spans="187:190" s="1" customFormat="1" ht="18" customHeight="1" x14ac:dyDescent="0.2">
      <c r="GE1896"/>
      <c r="GF1896"/>
      <c r="GG1896"/>
      <c r="GH1896"/>
    </row>
    <row r="1897" spans="187:190" s="1" customFormat="1" ht="18" customHeight="1" x14ac:dyDescent="0.2">
      <c r="GE1897"/>
      <c r="GF1897"/>
      <c r="GG1897"/>
      <c r="GH1897"/>
    </row>
    <row r="1898" spans="187:190" s="1" customFormat="1" ht="18" customHeight="1" x14ac:dyDescent="0.2">
      <c r="GE1898"/>
      <c r="GF1898"/>
      <c r="GG1898"/>
      <c r="GH1898"/>
    </row>
    <row r="1899" spans="187:190" s="1" customFormat="1" ht="18" customHeight="1" x14ac:dyDescent="0.2">
      <c r="GE1899"/>
      <c r="GF1899"/>
      <c r="GG1899"/>
      <c r="GH1899"/>
    </row>
    <row r="1900" spans="187:190" s="1" customFormat="1" ht="18" customHeight="1" x14ac:dyDescent="0.2">
      <c r="GE1900"/>
      <c r="GF1900"/>
      <c r="GG1900"/>
      <c r="GH1900"/>
    </row>
    <row r="1901" spans="187:190" s="1" customFormat="1" ht="18" customHeight="1" x14ac:dyDescent="0.2">
      <c r="GE1901"/>
      <c r="GF1901"/>
      <c r="GG1901"/>
      <c r="GH1901"/>
    </row>
    <row r="1902" spans="187:190" s="1" customFormat="1" ht="18" customHeight="1" x14ac:dyDescent="0.2">
      <c r="GE1902"/>
      <c r="GF1902"/>
      <c r="GG1902"/>
      <c r="GH1902"/>
    </row>
    <row r="1903" spans="187:190" s="1" customFormat="1" ht="18" customHeight="1" x14ac:dyDescent="0.2">
      <c r="GE1903"/>
      <c r="GF1903"/>
      <c r="GG1903"/>
      <c r="GH1903"/>
    </row>
    <row r="1904" spans="187:190" s="1" customFormat="1" ht="18" customHeight="1" x14ac:dyDescent="0.2">
      <c r="GE1904"/>
      <c r="GF1904"/>
      <c r="GG1904"/>
      <c r="GH1904"/>
    </row>
    <row r="1905" spans="187:190" s="1" customFormat="1" ht="18" customHeight="1" x14ac:dyDescent="0.2">
      <c r="GE1905"/>
      <c r="GF1905"/>
      <c r="GG1905"/>
      <c r="GH1905"/>
    </row>
    <row r="1906" spans="187:190" s="1" customFormat="1" ht="18" customHeight="1" x14ac:dyDescent="0.2">
      <c r="GE1906"/>
      <c r="GF1906"/>
      <c r="GG1906"/>
      <c r="GH1906"/>
    </row>
    <row r="1907" spans="187:190" s="1" customFormat="1" ht="18" customHeight="1" x14ac:dyDescent="0.2">
      <c r="GE1907"/>
      <c r="GF1907"/>
      <c r="GG1907"/>
      <c r="GH1907"/>
    </row>
    <row r="1908" spans="187:190" s="1" customFormat="1" ht="18" customHeight="1" x14ac:dyDescent="0.2">
      <c r="GE1908"/>
      <c r="GF1908"/>
      <c r="GG1908"/>
      <c r="GH1908"/>
    </row>
    <row r="1909" spans="187:190" s="1" customFormat="1" ht="18" customHeight="1" x14ac:dyDescent="0.2">
      <c r="GE1909"/>
      <c r="GF1909"/>
      <c r="GG1909"/>
      <c r="GH1909"/>
    </row>
    <row r="1910" spans="187:190" s="1" customFormat="1" ht="18" customHeight="1" x14ac:dyDescent="0.2">
      <c r="GE1910"/>
      <c r="GF1910"/>
      <c r="GG1910"/>
      <c r="GH1910"/>
    </row>
    <row r="1911" spans="187:190" s="1" customFormat="1" ht="18" customHeight="1" x14ac:dyDescent="0.2">
      <c r="GE1911"/>
      <c r="GF1911"/>
      <c r="GG1911"/>
      <c r="GH1911"/>
    </row>
    <row r="1912" spans="187:190" s="1" customFormat="1" ht="18" customHeight="1" x14ac:dyDescent="0.2">
      <c r="GE1912"/>
      <c r="GF1912"/>
      <c r="GG1912"/>
      <c r="GH1912"/>
    </row>
    <row r="1913" spans="187:190" s="1" customFormat="1" ht="18" customHeight="1" x14ac:dyDescent="0.2">
      <c r="GE1913"/>
      <c r="GF1913"/>
      <c r="GG1913"/>
      <c r="GH1913"/>
    </row>
    <row r="1914" spans="187:190" s="1" customFormat="1" ht="18" customHeight="1" x14ac:dyDescent="0.2">
      <c r="GE1914"/>
      <c r="GF1914"/>
      <c r="GG1914"/>
      <c r="GH1914"/>
    </row>
    <row r="1915" spans="187:190" s="1" customFormat="1" ht="18" customHeight="1" x14ac:dyDescent="0.2">
      <c r="GE1915"/>
      <c r="GF1915"/>
      <c r="GG1915"/>
      <c r="GH1915"/>
    </row>
    <row r="1916" spans="187:190" s="1" customFormat="1" ht="18" customHeight="1" x14ac:dyDescent="0.2">
      <c r="GE1916"/>
      <c r="GF1916"/>
      <c r="GG1916"/>
      <c r="GH1916"/>
    </row>
    <row r="1917" spans="187:190" s="1" customFormat="1" ht="18" customHeight="1" x14ac:dyDescent="0.2">
      <c r="GE1917"/>
      <c r="GF1917"/>
      <c r="GG1917"/>
      <c r="GH1917"/>
    </row>
    <row r="1918" spans="187:190" s="1" customFormat="1" ht="18" customHeight="1" x14ac:dyDescent="0.2">
      <c r="GE1918"/>
      <c r="GF1918"/>
      <c r="GG1918"/>
      <c r="GH1918"/>
    </row>
    <row r="1919" spans="187:190" s="1" customFormat="1" ht="18" customHeight="1" x14ac:dyDescent="0.2">
      <c r="GE1919"/>
      <c r="GF1919"/>
      <c r="GG1919"/>
      <c r="GH1919"/>
    </row>
    <row r="1920" spans="187:190" s="1" customFormat="1" ht="18" customHeight="1" x14ac:dyDescent="0.2">
      <c r="GE1920"/>
      <c r="GF1920"/>
      <c r="GG1920"/>
      <c r="GH1920"/>
    </row>
    <row r="1921" spans="187:190" s="1" customFormat="1" ht="18" customHeight="1" x14ac:dyDescent="0.2">
      <c r="GE1921"/>
      <c r="GF1921"/>
      <c r="GG1921"/>
      <c r="GH1921"/>
    </row>
    <row r="1922" spans="187:190" s="1" customFormat="1" ht="18" customHeight="1" x14ac:dyDescent="0.2">
      <c r="GE1922"/>
      <c r="GF1922"/>
      <c r="GG1922"/>
      <c r="GH1922"/>
    </row>
    <row r="1923" spans="187:190" s="1" customFormat="1" ht="18" customHeight="1" x14ac:dyDescent="0.2">
      <c r="GE1923"/>
      <c r="GF1923"/>
      <c r="GG1923"/>
      <c r="GH1923"/>
    </row>
    <row r="1924" spans="187:190" s="1" customFormat="1" ht="18" customHeight="1" x14ac:dyDescent="0.2">
      <c r="GE1924"/>
      <c r="GF1924"/>
      <c r="GG1924"/>
      <c r="GH1924"/>
    </row>
    <row r="1925" spans="187:190" s="1" customFormat="1" ht="18" customHeight="1" x14ac:dyDescent="0.2">
      <c r="GE1925"/>
      <c r="GF1925"/>
      <c r="GG1925"/>
      <c r="GH1925"/>
    </row>
    <row r="1926" spans="187:190" s="1" customFormat="1" ht="18" customHeight="1" x14ac:dyDescent="0.2">
      <c r="GE1926"/>
      <c r="GF1926"/>
      <c r="GG1926"/>
      <c r="GH1926"/>
    </row>
    <row r="1927" spans="187:190" s="1" customFormat="1" ht="18" customHeight="1" x14ac:dyDescent="0.2">
      <c r="GE1927"/>
      <c r="GF1927"/>
      <c r="GG1927"/>
      <c r="GH1927"/>
    </row>
    <row r="1928" spans="187:190" s="1" customFormat="1" ht="18" customHeight="1" x14ac:dyDescent="0.2">
      <c r="GE1928"/>
      <c r="GF1928"/>
      <c r="GG1928"/>
      <c r="GH1928"/>
    </row>
    <row r="1929" spans="187:190" s="1" customFormat="1" ht="18" customHeight="1" x14ac:dyDescent="0.2">
      <c r="GE1929"/>
      <c r="GF1929"/>
      <c r="GG1929"/>
      <c r="GH1929"/>
    </row>
    <row r="1930" spans="187:190" s="1" customFormat="1" ht="18" customHeight="1" x14ac:dyDescent="0.2">
      <c r="GE1930"/>
      <c r="GF1930"/>
      <c r="GG1930"/>
      <c r="GH1930"/>
    </row>
    <row r="1931" spans="187:190" s="1" customFormat="1" ht="18" customHeight="1" x14ac:dyDescent="0.2">
      <c r="GE1931"/>
      <c r="GF1931"/>
      <c r="GG1931"/>
      <c r="GH1931"/>
    </row>
    <row r="1932" spans="187:190" s="1" customFormat="1" ht="18" customHeight="1" x14ac:dyDescent="0.2">
      <c r="GE1932"/>
      <c r="GF1932"/>
      <c r="GG1932"/>
      <c r="GH1932"/>
    </row>
    <row r="1933" spans="187:190" s="1" customFormat="1" ht="18" customHeight="1" x14ac:dyDescent="0.2">
      <c r="GE1933"/>
      <c r="GF1933"/>
      <c r="GG1933"/>
      <c r="GH1933"/>
    </row>
    <row r="1934" spans="187:190" s="1" customFormat="1" ht="18" customHeight="1" x14ac:dyDescent="0.2">
      <c r="GE1934"/>
      <c r="GF1934"/>
      <c r="GG1934"/>
      <c r="GH1934"/>
    </row>
    <row r="1935" spans="187:190" s="1" customFormat="1" ht="18" customHeight="1" x14ac:dyDescent="0.2">
      <c r="GE1935"/>
      <c r="GF1935"/>
      <c r="GG1935"/>
      <c r="GH1935"/>
    </row>
    <row r="1936" spans="187:190" s="1" customFormat="1" ht="18" customHeight="1" x14ac:dyDescent="0.2">
      <c r="GE1936"/>
      <c r="GF1936"/>
      <c r="GG1936"/>
      <c r="GH1936"/>
    </row>
    <row r="1937" spans="187:190" s="1" customFormat="1" ht="18" customHeight="1" x14ac:dyDescent="0.2">
      <c r="GE1937"/>
      <c r="GF1937"/>
      <c r="GG1937"/>
      <c r="GH1937"/>
    </row>
    <row r="1938" spans="187:190" s="1" customFormat="1" ht="18" customHeight="1" x14ac:dyDescent="0.2">
      <c r="GE1938"/>
      <c r="GF1938"/>
      <c r="GG1938"/>
      <c r="GH1938"/>
    </row>
    <row r="1939" spans="187:190" s="1" customFormat="1" ht="18" customHeight="1" x14ac:dyDescent="0.2">
      <c r="GE1939"/>
      <c r="GF1939"/>
      <c r="GG1939"/>
      <c r="GH1939"/>
    </row>
    <row r="1940" spans="187:190" s="1" customFormat="1" ht="18" customHeight="1" x14ac:dyDescent="0.2">
      <c r="GE1940"/>
      <c r="GF1940"/>
      <c r="GG1940"/>
      <c r="GH1940"/>
    </row>
    <row r="1941" spans="187:190" s="1" customFormat="1" ht="18" customHeight="1" x14ac:dyDescent="0.2">
      <c r="GE1941"/>
      <c r="GF1941"/>
      <c r="GG1941"/>
      <c r="GH1941"/>
    </row>
    <row r="1942" spans="187:190" s="1" customFormat="1" ht="18" customHeight="1" x14ac:dyDescent="0.2">
      <c r="GE1942"/>
      <c r="GF1942"/>
      <c r="GG1942"/>
      <c r="GH1942"/>
    </row>
    <row r="1943" spans="187:190" s="1" customFormat="1" ht="18" customHeight="1" x14ac:dyDescent="0.2">
      <c r="GE1943"/>
      <c r="GF1943"/>
      <c r="GG1943"/>
      <c r="GH1943"/>
    </row>
    <row r="1944" spans="187:190" s="1" customFormat="1" ht="18" customHeight="1" x14ac:dyDescent="0.2">
      <c r="GE1944"/>
      <c r="GF1944"/>
      <c r="GG1944"/>
      <c r="GH1944"/>
    </row>
    <row r="1945" spans="187:190" s="1" customFormat="1" ht="18" customHeight="1" x14ac:dyDescent="0.2">
      <c r="GE1945"/>
      <c r="GF1945"/>
      <c r="GG1945"/>
      <c r="GH1945"/>
    </row>
    <row r="1946" spans="187:190" s="1" customFormat="1" ht="18" customHeight="1" x14ac:dyDescent="0.2">
      <c r="GE1946"/>
      <c r="GF1946"/>
      <c r="GG1946"/>
      <c r="GH1946"/>
    </row>
    <row r="1947" spans="187:190" s="1" customFormat="1" ht="18" customHeight="1" x14ac:dyDescent="0.2">
      <c r="GE1947"/>
      <c r="GF1947"/>
      <c r="GG1947"/>
      <c r="GH1947"/>
    </row>
    <row r="1948" spans="187:190" s="1" customFormat="1" ht="18" customHeight="1" x14ac:dyDescent="0.2">
      <c r="GE1948"/>
      <c r="GF1948"/>
      <c r="GG1948"/>
      <c r="GH1948"/>
    </row>
    <row r="1949" spans="187:190" s="1" customFormat="1" ht="18" customHeight="1" x14ac:dyDescent="0.2">
      <c r="GE1949"/>
      <c r="GF1949"/>
      <c r="GG1949"/>
      <c r="GH1949"/>
    </row>
    <row r="1950" spans="187:190" s="1" customFormat="1" ht="18" customHeight="1" x14ac:dyDescent="0.2">
      <c r="GE1950"/>
      <c r="GF1950"/>
      <c r="GG1950"/>
      <c r="GH1950"/>
    </row>
    <row r="1951" spans="187:190" s="1" customFormat="1" ht="18" customHeight="1" x14ac:dyDescent="0.2">
      <c r="GE1951"/>
      <c r="GF1951"/>
      <c r="GG1951"/>
      <c r="GH1951"/>
    </row>
    <row r="1952" spans="187:190" s="1" customFormat="1" ht="18" customHeight="1" x14ac:dyDescent="0.2">
      <c r="GE1952"/>
      <c r="GF1952"/>
      <c r="GG1952"/>
      <c r="GH1952"/>
    </row>
    <row r="1953" spans="187:190" s="1" customFormat="1" ht="18" customHeight="1" x14ac:dyDescent="0.2">
      <c r="GE1953"/>
      <c r="GF1953"/>
      <c r="GG1953"/>
      <c r="GH1953"/>
    </row>
    <row r="1954" spans="187:190" s="1" customFormat="1" ht="18" customHeight="1" x14ac:dyDescent="0.2">
      <c r="GE1954"/>
      <c r="GF1954"/>
      <c r="GG1954"/>
      <c r="GH1954"/>
    </row>
    <row r="1955" spans="187:190" s="1" customFormat="1" ht="18" customHeight="1" x14ac:dyDescent="0.2">
      <c r="GE1955"/>
      <c r="GF1955"/>
      <c r="GG1955"/>
      <c r="GH1955"/>
    </row>
    <row r="1956" spans="187:190" s="1" customFormat="1" ht="18" customHeight="1" x14ac:dyDescent="0.2">
      <c r="GE1956"/>
      <c r="GF1956"/>
      <c r="GG1956"/>
      <c r="GH1956"/>
    </row>
    <row r="1957" spans="187:190" s="1" customFormat="1" ht="18" customHeight="1" x14ac:dyDescent="0.2">
      <c r="GE1957"/>
      <c r="GF1957"/>
      <c r="GG1957"/>
      <c r="GH1957"/>
    </row>
    <row r="1958" spans="187:190" s="1" customFormat="1" ht="18" customHeight="1" x14ac:dyDescent="0.2">
      <c r="GE1958"/>
      <c r="GF1958"/>
      <c r="GG1958"/>
      <c r="GH1958"/>
    </row>
    <row r="1959" spans="187:190" s="1" customFormat="1" ht="18" customHeight="1" x14ac:dyDescent="0.2">
      <c r="GE1959"/>
      <c r="GF1959"/>
      <c r="GG1959"/>
      <c r="GH1959"/>
    </row>
    <row r="1960" spans="187:190" s="1" customFormat="1" ht="18" customHeight="1" x14ac:dyDescent="0.2">
      <c r="GE1960"/>
      <c r="GF1960"/>
      <c r="GG1960"/>
      <c r="GH1960"/>
    </row>
    <row r="1961" spans="187:190" s="1" customFormat="1" ht="18" customHeight="1" x14ac:dyDescent="0.2">
      <c r="GE1961"/>
      <c r="GF1961"/>
      <c r="GG1961"/>
      <c r="GH1961"/>
    </row>
    <row r="1962" spans="187:190" s="1" customFormat="1" ht="18" customHeight="1" x14ac:dyDescent="0.2">
      <c r="GE1962"/>
      <c r="GF1962"/>
      <c r="GG1962"/>
      <c r="GH1962"/>
    </row>
    <row r="1963" spans="187:190" s="1" customFormat="1" ht="18" customHeight="1" x14ac:dyDescent="0.2">
      <c r="GE1963"/>
      <c r="GF1963"/>
      <c r="GG1963"/>
      <c r="GH1963"/>
    </row>
    <row r="1964" spans="187:190" s="1" customFormat="1" ht="18" customHeight="1" x14ac:dyDescent="0.2">
      <c r="GE1964"/>
      <c r="GF1964"/>
      <c r="GG1964"/>
      <c r="GH1964"/>
    </row>
    <row r="1965" spans="187:190" s="1" customFormat="1" ht="18" customHeight="1" x14ac:dyDescent="0.2">
      <c r="GE1965"/>
      <c r="GF1965"/>
      <c r="GG1965"/>
      <c r="GH1965"/>
    </row>
    <row r="1966" spans="187:190" s="1" customFormat="1" ht="18" customHeight="1" x14ac:dyDescent="0.2">
      <c r="GE1966"/>
      <c r="GF1966"/>
      <c r="GG1966"/>
      <c r="GH1966"/>
    </row>
    <row r="1967" spans="187:190" s="1" customFormat="1" ht="18" customHeight="1" x14ac:dyDescent="0.2">
      <c r="GE1967"/>
      <c r="GF1967"/>
      <c r="GG1967"/>
      <c r="GH1967"/>
    </row>
    <row r="1968" spans="187:190" s="1" customFormat="1" ht="18" customHeight="1" x14ac:dyDescent="0.2">
      <c r="GE1968"/>
      <c r="GF1968"/>
      <c r="GG1968"/>
      <c r="GH1968"/>
    </row>
    <row r="1969" spans="187:190" s="1" customFormat="1" ht="18" customHeight="1" x14ac:dyDescent="0.2">
      <c r="GE1969"/>
      <c r="GF1969"/>
      <c r="GG1969"/>
      <c r="GH1969"/>
    </row>
    <row r="1970" spans="187:190" s="1" customFormat="1" ht="18" customHeight="1" x14ac:dyDescent="0.2">
      <c r="GE1970"/>
      <c r="GF1970"/>
      <c r="GG1970"/>
      <c r="GH1970"/>
    </row>
    <row r="1971" spans="187:190" s="1" customFormat="1" ht="18" customHeight="1" x14ac:dyDescent="0.2">
      <c r="GE1971"/>
      <c r="GF1971"/>
      <c r="GG1971"/>
      <c r="GH1971"/>
    </row>
    <row r="1972" spans="187:190" s="1" customFormat="1" ht="18" customHeight="1" x14ac:dyDescent="0.2">
      <c r="GE1972"/>
      <c r="GF1972"/>
      <c r="GG1972"/>
      <c r="GH1972"/>
    </row>
    <row r="1973" spans="187:190" s="1" customFormat="1" ht="18" customHeight="1" x14ac:dyDescent="0.2">
      <c r="GE1973"/>
      <c r="GF1973"/>
      <c r="GG1973"/>
      <c r="GH1973"/>
    </row>
    <row r="1974" spans="187:190" s="1" customFormat="1" ht="18" customHeight="1" x14ac:dyDescent="0.2">
      <c r="GE1974"/>
      <c r="GF1974"/>
      <c r="GG1974"/>
      <c r="GH1974"/>
    </row>
    <row r="1975" spans="187:190" s="1" customFormat="1" ht="18" customHeight="1" x14ac:dyDescent="0.2">
      <c r="GE1975"/>
      <c r="GF1975"/>
      <c r="GG1975"/>
      <c r="GH1975"/>
    </row>
    <row r="1976" spans="187:190" s="1" customFormat="1" ht="18" customHeight="1" x14ac:dyDescent="0.2">
      <c r="GE1976"/>
      <c r="GF1976"/>
      <c r="GG1976"/>
      <c r="GH1976"/>
    </row>
    <row r="1977" spans="187:190" s="1" customFormat="1" ht="18" customHeight="1" x14ac:dyDescent="0.2">
      <c r="GE1977"/>
      <c r="GF1977"/>
      <c r="GG1977"/>
      <c r="GH1977"/>
    </row>
    <row r="1978" spans="187:190" s="1" customFormat="1" ht="18" customHeight="1" x14ac:dyDescent="0.2">
      <c r="GE1978"/>
      <c r="GF1978"/>
      <c r="GG1978"/>
      <c r="GH1978"/>
    </row>
    <row r="1979" spans="187:190" s="1" customFormat="1" ht="18" customHeight="1" x14ac:dyDescent="0.2">
      <c r="GE1979"/>
      <c r="GF1979"/>
      <c r="GG1979"/>
      <c r="GH1979"/>
    </row>
    <row r="1980" spans="187:190" s="1" customFormat="1" ht="18" customHeight="1" x14ac:dyDescent="0.2">
      <c r="GE1980"/>
      <c r="GF1980"/>
      <c r="GG1980"/>
      <c r="GH1980"/>
    </row>
    <row r="1981" spans="187:190" s="1" customFormat="1" ht="18" customHeight="1" x14ac:dyDescent="0.2">
      <c r="GE1981"/>
      <c r="GF1981"/>
      <c r="GG1981"/>
      <c r="GH1981"/>
    </row>
    <row r="1982" spans="187:190" s="1" customFormat="1" ht="18" customHeight="1" x14ac:dyDescent="0.2">
      <c r="GE1982"/>
      <c r="GF1982"/>
      <c r="GG1982"/>
      <c r="GH1982"/>
    </row>
    <row r="1983" spans="187:190" s="1" customFormat="1" ht="18" customHeight="1" x14ac:dyDescent="0.2">
      <c r="GE1983"/>
      <c r="GF1983"/>
      <c r="GG1983"/>
      <c r="GH1983"/>
    </row>
    <row r="1984" spans="187:190" s="1" customFormat="1" ht="18" customHeight="1" x14ac:dyDescent="0.2">
      <c r="GE1984"/>
      <c r="GF1984"/>
      <c r="GG1984"/>
      <c r="GH1984"/>
    </row>
    <row r="1985" spans="187:190" s="1" customFormat="1" ht="18" customHeight="1" x14ac:dyDescent="0.2">
      <c r="GE1985"/>
      <c r="GF1985"/>
      <c r="GG1985"/>
      <c r="GH1985"/>
    </row>
    <row r="1986" spans="187:190" s="1" customFormat="1" ht="18" customHeight="1" x14ac:dyDescent="0.2">
      <c r="GE1986"/>
      <c r="GF1986"/>
      <c r="GG1986"/>
      <c r="GH1986"/>
    </row>
    <row r="1987" spans="187:190" s="1" customFormat="1" ht="18" customHeight="1" x14ac:dyDescent="0.2">
      <c r="GE1987"/>
      <c r="GF1987"/>
      <c r="GG1987"/>
      <c r="GH1987"/>
    </row>
    <row r="1988" spans="187:190" s="1" customFormat="1" ht="18" customHeight="1" x14ac:dyDescent="0.2">
      <c r="GE1988"/>
      <c r="GF1988"/>
      <c r="GG1988"/>
      <c r="GH1988"/>
    </row>
    <row r="1989" spans="187:190" s="1" customFormat="1" ht="18" customHeight="1" x14ac:dyDescent="0.2">
      <c r="GE1989"/>
      <c r="GF1989"/>
      <c r="GG1989"/>
      <c r="GH1989"/>
    </row>
    <row r="1990" spans="187:190" s="1" customFormat="1" ht="18" customHeight="1" x14ac:dyDescent="0.2">
      <c r="GE1990"/>
      <c r="GF1990"/>
      <c r="GG1990"/>
      <c r="GH1990"/>
    </row>
    <row r="1991" spans="187:190" s="1" customFormat="1" ht="18" customHeight="1" x14ac:dyDescent="0.2">
      <c r="GE1991"/>
      <c r="GF1991"/>
      <c r="GG1991"/>
      <c r="GH1991"/>
    </row>
    <row r="1992" spans="187:190" s="1" customFormat="1" ht="18" customHeight="1" x14ac:dyDescent="0.2">
      <c r="GE1992"/>
      <c r="GF1992"/>
      <c r="GG1992"/>
      <c r="GH1992"/>
    </row>
    <row r="1993" spans="187:190" s="1" customFormat="1" ht="18" customHeight="1" x14ac:dyDescent="0.2">
      <c r="GE1993"/>
      <c r="GF1993"/>
      <c r="GG1993"/>
      <c r="GH1993"/>
    </row>
    <row r="1994" spans="187:190" s="1" customFormat="1" ht="18" customHeight="1" x14ac:dyDescent="0.2">
      <c r="GE1994"/>
      <c r="GF1994"/>
      <c r="GG1994"/>
      <c r="GH1994"/>
    </row>
    <row r="1995" spans="187:190" s="1" customFormat="1" ht="18" customHeight="1" x14ac:dyDescent="0.2">
      <c r="GE1995"/>
      <c r="GF1995"/>
      <c r="GG1995"/>
      <c r="GH1995"/>
    </row>
    <row r="1996" spans="187:190" s="1" customFormat="1" ht="18" customHeight="1" x14ac:dyDescent="0.2">
      <c r="GE1996"/>
      <c r="GF1996"/>
      <c r="GG1996"/>
      <c r="GH1996"/>
    </row>
    <row r="1997" spans="187:190" s="1" customFormat="1" ht="18" customHeight="1" x14ac:dyDescent="0.2">
      <c r="GE1997"/>
      <c r="GF1997"/>
      <c r="GG1997"/>
      <c r="GH1997"/>
    </row>
    <row r="1998" spans="187:190" s="1" customFormat="1" ht="18" customHeight="1" x14ac:dyDescent="0.2">
      <c r="GE1998"/>
      <c r="GF1998"/>
      <c r="GG1998"/>
      <c r="GH1998"/>
    </row>
    <row r="1999" spans="187:190" s="1" customFormat="1" ht="18" customHeight="1" x14ac:dyDescent="0.2">
      <c r="GE1999"/>
      <c r="GF1999"/>
      <c r="GG1999"/>
      <c r="GH1999"/>
    </row>
    <row r="2000" spans="187:190" s="1" customFormat="1" ht="18" customHeight="1" x14ac:dyDescent="0.2">
      <c r="GE2000"/>
      <c r="GF2000"/>
      <c r="GG2000"/>
      <c r="GH2000"/>
    </row>
    <row r="2001" spans="187:190" s="1" customFormat="1" ht="18" customHeight="1" x14ac:dyDescent="0.2">
      <c r="GE2001"/>
      <c r="GF2001"/>
      <c r="GG2001"/>
      <c r="GH2001"/>
    </row>
    <row r="2002" spans="187:190" s="1" customFormat="1" ht="18" customHeight="1" x14ac:dyDescent="0.2">
      <c r="GE2002"/>
      <c r="GF2002"/>
      <c r="GG2002"/>
      <c r="GH2002"/>
    </row>
    <row r="2003" spans="187:190" s="1" customFormat="1" ht="18" customHeight="1" x14ac:dyDescent="0.2">
      <c r="GE2003"/>
      <c r="GF2003"/>
      <c r="GG2003"/>
      <c r="GH2003"/>
    </row>
    <row r="2004" spans="187:190" s="1" customFormat="1" ht="18" customHeight="1" x14ac:dyDescent="0.2">
      <c r="GE2004"/>
      <c r="GF2004"/>
      <c r="GG2004"/>
      <c r="GH2004"/>
    </row>
    <row r="2005" spans="187:190" s="1" customFormat="1" ht="18" customHeight="1" x14ac:dyDescent="0.2">
      <c r="GE2005"/>
      <c r="GF2005"/>
      <c r="GG2005"/>
      <c r="GH2005"/>
    </row>
    <row r="2006" spans="187:190" s="1" customFormat="1" ht="18" customHeight="1" x14ac:dyDescent="0.2">
      <c r="GE2006"/>
      <c r="GF2006"/>
      <c r="GG2006"/>
      <c r="GH2006"/>
    </row>
    <row r="2007" spans="187:190" s="1" customFormat="1" ht="18" customHeight="1" x14ac:dyDescent="0.2">
      <c r="GE2007"/>
      <c r="GF2007"/>
      <c r="GG2007"/>
      <c r="GH2007"/>
    </row>
    <row r="2008" spans="187:190" s="1" customFormat="1" ht="18" customHeight="1" x14ac:dyDescent="0.2">
      <c r="GE2008"/>
      <c r="GF2008"/>
      <c r="GG2008"/>
      <c r="GH2008"/>
    </row>
    <row r="2009" spans="187:190" s="1" customFormat="1" ht="18" customHeight="1" x14ac:dyDescent="0.2">
      <c r="GE2009"/>
      <c r="GF2009"/>
      <c r="GG2009"/>
      <c r="GH2009"/>
    </row>
    <row r="2010" spans="187:190" s="1" customFormat="1" ht="18" customHeight="1" x14ac:dyDescent="0.2">
      <c r="GE2010"/>
      <c r="GF2010"/>
      <c r="GG2010"/>
      <c r="GH2010"/>
    </row>
    <row r="2011" spans="187:190" s="1" customFormat="1" ht="18" customHeight="1" x14ac:dyDescent="0.2">
      <c r="GE2011"/>
      <c r="GF2011"/>
      <c r="GG2011"/>
      <c r="GH2011"/>
    </row>
    <row r="2012" spans="187:190" s="1" customFormat="1" ht="18" customHeight="1" x14ac:dyDescent="0.2">
      <c r="GE2012"/>
      <c r="GF2012"/>
      <c r="GG2012"/>
      <c r="GH2012"/>
    </row>
    <row r="2013" spans="187:190" s="1" customFormat="1" ht="18" customHeight="1" x14ac:dyDescent="0.2">
      <c r="GE2013"/>
      <c r="GF2013"/>
      <c r="GG2013"/>
      <c r="GH2013"/>
    </row>
    <row r="2014" spans="187:190" s="1" customFormat="1" ht="18" customHeight="1" x14ac:dyDescent="0.2">
      <c r="GE2014"/>
      <c r="GF2014"/>
      <c r="GG2014"/>
      <c r="GH2014"/>
    </row>
    <row r="2015" spans="187:190" s="1" customFormat="1" ht="18" customHeight="1" x14ac:dyDescent="0.2">
      <c r="GE2015"/>
      <c r="GF2015"/>
      <c r="GG2015"/>
      <c r="GH2015"/>
    </row>
    <row r="2016" spans="187:190" s="1" customFormat="1" ht="18" customHeight="1" x14ac:dyDescent="0.2">
      <c r="GE2016"/>
      <c r="GF2016"/>
      <c r="GG2016"/>
      <c r="GH2016"/>
    </row>
    <row r="2017" spans="187:190" s="1" customFormat="1" ht="18" customHeight="1" x14ac:dyDescent="0.2">
      <c r="GE2017"/>
      <c r="GF2017"/>
      <c r="GG2017"/>
      <c r="GH2017"/>
    </row>
    <row r="2018" spans="187:190" s="1" customFormat="1" ht="18" customHeight="1" x14ac:dyDescent="0.2">
      <c r="GE2018"/>
      <c r="GF2018"/>
      <c r="GG2018"/>
      <c r="GH2018"/>
    </row>
    <row r="2019" spans="187:190" s="1" customFormat="1" ht="18" customHeight="1" x14ac:dyDescent="0.2">
      <c r="GE2019"/>
      <c r="GF2019"/>
      <c r="GG2019"/>
      <c r="GH2019"/>
    </row>
    <row r="2020" spans="187:190" s="1" customFormat="1" ht="18" customHeight="1" x14ac:dyDescent="0.2">
      <c r="GE2020"/>
      <c r="GF2020"/>
      <c r="GG2020"/>
      <c r="GH2020"/>
    </row>
    <row r="2021" spans="187:190" s="1" customFormat="1" ht="18" customHeight="1" x14ac:dyDescent="0.2">
      <c r="GE2021"/>
      <c r="GF2021"/>
      <c r="GG2021"/>
      <c r="GH2021"/>
    </row>
    <row r="2022" spans="187:190" s="1" customFormat="1" ht="18" customHeight="1" x14ac:dyDescent="0.2">
      <c r="GE2022"/>
      <c r="GF2022"/>
      <c r="GG2022"/>
      <c r="GH2022"/>
    </row>
    <row r="2023" spans="187:190" s="1" customFormat="1" ht="18" customHeight="1" x14ac:dyDescent="0.2">
      <c r="GE2023"/>
      <c r="GF2023"/>
      <c r="GG2023"/>
      <c r="GH2023"/>
    </row>
    <row r="2024" spans="187:190" s="1" customFormat="1" ht="18" customHeight="1" x14ac:dyDescent="0.2">
      <c r="GE2024"/>
      <c r="GF2024"/>
      <c r="GG2024"/>
      <c r="GH2024"/>
    </row>
    <row r="2025" spans="187:190" s="1" customFormat="1" ht="18" customHeight="1" x14ac:dyDescent="0.2">
      <c r="GE2025"/>
      <c r="GF2025"/>
      <c r="GG2025"/>
      <c r="GH2025"/>
    </row>
    <row r="2026" spans="187:190" s="1" customFormat="1" ht="18" customHeight="1" x14ac:dyDescent="0.2">
      <c r="GE2026"/>
      <c r="GF2026"/>
      <c r="GG2026"/>
      <c r="GH2026"/>
    </row>
    <row r="2027" spans="187:190" s="1" customFormat="1" ht="18" customHeight="1" x14ac:dyDescent="0.2">
      <c r="GE2027"/>
      <c r="GF2027"/>
      <c r="GG2027"/>
      <c r="GH2027"/>
    </row>
    <row r="2028" spans="187:190" s="1" customFormat="1" ht="18" customHeight="1" x14ac:dyDescent="0.2">
      <c r="GE2028"/>
      <c r="GF2028"/>
      <c r="GG2028"/>
      <c r="GH2028"/>
    </row>
    <row r="2029" spans="187:190" s="1" customFormat="1" ht="18" customHeight="1" x14ac:dyDescent="0.2">
      <c r="GE2029"/>
      <c r="GF2029"/>
      <c r="GG2029"/>
      <c r="GH2029"/>
    </row>
    <row r="2030" spans="187:190" s="1" customFormat="1" ht="18" customHeight="1" x14ac:dyDescent="0.2">
      <c r="GE2030"/>
      <c r="GF2030"/>
      <c r="GG2030"/>
      <c r="GH2030"/>
    </row>
    <row r="2031" spans="187:190" s="1" customFormat="1" ht="18" customHeight="1" x14ac:dyDescent="0.2">
      <c r="GE2031"/>
      <c r="GF2031"/>
      <c r="GG2031"/>
      <c r="GH2031"/>
    </row>
    <row r="2032" spans="187:190" s="1" customFormat="1" ht="18" customHeight="1" x14ac:dyDescent="0.2">
      <c r="GE2032"/>
      <c r="GF2032"/>
      <c r="GG2032"/>
      <c r="GH2032"/>
    </row>
    <row r="2033" spans="187:190" s="1" customFormat="1" ht="18" customHeight="1" x14ac:dyDescent="0.2">
      <c r="GE2033"/>
      <c r="GF2033"/>
      <c r="GG2033"/>
      <c r="GH2033"/>
    </row>
    <row r="2034" spans="187:190" s="1" customFormat="1" ht="18" customHeight="1" x14ac:dyDescent="0.2">
      <c r="GE2034"/>
      <c r="GF2034"/>
      <c r="GG2034"/>
      <c r="GH2034"/>
    </row>
    <row r="2035" spans="187:190" s="1" customFormat="1" ht="18" customHeight="1" x14ac:dyDescent="0.2">
      <c r="GE2035"/>
      <c r="GF2035"/>
      <c r="GG2035"/>
      <c r="GH2035"/>
    </row>
    <row r="2036" spans="187:190" s="1" customFormat="1" ht="18" customHeight="1" x14ac:dyDescent="0.2">
      <c r="GE2036"/>
      <c r="GF2036"/>
      <c r="GG2036"/>
      <c r="GH2036"/>
    </row>
    <row r="2037" spans="187:190" s="1" customFormat="1" ht="18" customHeight="1" x14ac:dyDescent="0.2">
      <c r="GE2037"/>
      <c r="GF2037"/>
      <c r="GG2037"/>
      <c r="GH2037"/>
    </row>
    <row r="2038" spans="187:190" s="1" customFormat="1" ht="18" customHeight="1" x14ac:dyDescent="0.2">
      <c r="GE2038"/>
      <c r="GF2038"/>
      <c r="GG2038"/>
      <c r="GH2038"/>
    </row>
    <row r="2039" spans="187:190" s="1" customFormat="1" ht="18" customHeight="1" x14ac:dyDescent="0.2">
      <c r="GE2039"/>
      <c r="GF2039"/>
      <c r="GG2039"/>
      <c r="GH2039"/>
    </row>
    <row r="2040" spans="187:190" s="1" customFormat="1" ht="18" customHeight="1" x14ac:dyDescent="0.2">
      <c r="GE2040"/>
      <c r="GF2040"/>
      <c r="GG2040"/>
      <c r="GH2040"/>
    </row>
    <row r="2041" spans="187:190" s="1" customFormat="1" ht="18" customHeight="1" x14ac:dyDescent="0.2">
      <c r="GE2041"/>
      <c r="GF2041"/>
      <c r="GG2041"/>
      <c r="GH2041"/>
    </row>
    <row r="2042" spans="187:190" s="1" customFormat="1" ht="18" customHeight="1" x14ac:dyDescent="0.2">
      <c r="GE2042"/>
      <c r="GF2042"/>
      <c r="GG2042"/>
      <c r="GH2042"/>
    </row>
    <row r="2043" spans="187:190" s="1" customFormat="1" ht="18" customHeight="1" x14ac:dyDescent="0.2">
      <c r="GE2043"/>
      <c r="GF2043"/>
      <c r="GG2043"/>
      <c r="GH2043"/>
    </row>
    <row r="2044" spans="187:190" s="1" customFormat="1" ht="18" customHeight="1" x14ac:dyDescent="0.2">
      <c r="GE2044"/>
      <c r="GF2044"/>
      <c r="GG2044"/>
      <c r="GH2044"/>
    </row>
    <row r="2045" spans="187:190" s="1" customFormat="1" ht="18" customHeight="1" x14ac:dyDescent="0.2">
      <c r="GE2045"/>
      <c r="GF2045"/>
      <c r="GG2045"/>
      <c r="GH2045"/>
    </row>
    <row r="2046" spans="187:190" s="1" customFormat="1" ht="18" customHeight="1" x14ac:dyDescent="0.2">
      <c r="GE2046"/>
      <c r="GF2046"/>
      <c r="GG2046"/>
      <c r="GH2046"/>
    </row>
    <row r="2047" spans="187:190" s="1" customFormat="1" ht="18" customHeight="1" x14ac:dyDescent="0.2">
      <c r="GE2047"/>
      <c r="GF2047"/>
      <c r="GG2047"/>
      <c r="GH2047"/>
    </row>
    <row r="2048" spans="187:190" s="1" customFormat="1" ht="18" customHeight="1" x14ac:dyDescent="0.2">
      <c r="GE2048"/>
      <c r="GF2048"/>
      <c r="GG2048"/>
      <c r="GH2048"/>
    </row>
    <row r="2049" spans="187:190" s="1" customFormat="1" ht="18" customHeight="1" x14ac:dyDescent="0.2">
      <c r="GE2049"/>
      <c r="GF2049"/>
      <c r="GG2049"/>
      <c r="GH2049"/>
    </row>
    <row r="2050" spans="187:190" s="1" customFormat="1" ht="18" customHeight="1" x14ac:dyDescent="0.2">
      <c r="GE2050"/>
      <c r="GF2050"/>
      <c r="GG2050"/>
      <c r="GH2050"/>
    </row>
    <row r="2051" spans="187:190" s="1" customFormat="1" ht="18" customHeight="1" x14ac:dyDescent="0.2">
      <c r="GE2051"/>
      <c r="GF2051"/>
      <c r="GG2051"/>
      <c r="GH2051"/>
    </row>
    <row r="2052" spans="187:190" s="1" customFormat="1" ht="18" customHeight="1" x14ac:dyDescent="0.2">
      <c r="GE2052"/>
      <c r="GF2052"/>
      <c r="GG2052"/>
      <c r="GH2052"/>
    </row>
    <row r="2053" spans="187:190" s="1" customFormat="1" ht="18" customHeight="1" x14ac:dyDescent="0.2">
      <c r="GE2053"/>
      <c r="GF2053"/>
      <c r="GG2053"/>
      <c r="GH2053"/>
    </row>
    <row r="2054" spans="187:190" s="1" customFormat="1" ht="18" customHeight="1" x14ac:dyDescent="0.2">
      <c r="GE2054"/>
      <c r="GF2054"/>
      <c r="GG2054"/>
      <c r="GH2054"/>
    </row>
    <row r="2055" spans="187:190" s="1" customFormat="1" ht="18" customHeight="1" x14ac:dyDescent="0.2">
      <c r="GE2055"/>
      <c r="GF2055"/>
      <c r="GG2055"/>
      <c r="GH2055"/>
    </row>
    <row r="2056" spans="187:190" s="1" customFormat="1" ht="18" customHeight="1" x14ac:dyDescent="0.2">
      <c r="GE2056"/>
      <c r="GF2056"/>
      <c r="GG2056"/>
      <c r="GH2056"/>
    </row>
    <row r="2057" spans="187:190" s="1" customFormat="1" ht="18" customHeight="1" x14ac:dyDescent="0.2">
      <c r="GE2057"/>
      <c r="GF2057"/>
      <c r="GG2057"/>
      <c r="GH2057"/>
    </row>
    <row r="2058" spans="187:190" s="1" customFormat="1" ht="18" customHeight="1" x14ac:dyDescent="0.2">
      <c r="GE2058"/>
      <c r="GF2058"/>
      <c r="GG2058"/>
      <c r="GH2058"/>
    </row>
    <row r="2059" spans="187:190" s="1" customFormat="1" ht="18" customHeight="1" x14ac:dyDescent="0.2">
      <c r="GE2059"/>
      <c r="GF2059"/>
      <c r="GG2059"/>
      <c r="GH2059"/>
    </row>
    <row r="2060" spans="187:190" s="1" customFormat="1" ht="18" customHeight="1" x14ac:dyDescent="0.2">
      <c r="GE2060"/>
      <c r="GF2060"/>
      <c r="GG2060"/>
      <c r="GH2060"/>
    </row>
    <row r="2061" spans="187:190" s="1" customFormat="1" ht="18" customHeight="1" x14ac:dyDescent="0.2">
      <c r="GE2061"/>
      <c r="GF2061"/>
      <c r="GG2061"/>
      <c r="GH2061"/>
    </row>
    <row r="2062" spans="187:190" s="1" customFormat="1" ht="18" customHeight="1" x14ac:dyDescent="0.2">
      <c r="GE2062"/>
      <c r="GF2062"/>
      <c r="GG2062"/>
      <c r="GH2062"/>
    </row>
    <row r="2063" spans="187:190" s="1" customFormat="1" ht="18" customHeight="1" x14ac:dyDescent="0.2">
      <c r="GE2063"/>
      <c r="GF2063"/>
      <c r="GG2063"/>
      <c r="GH2063"/>
    </row>
    <row r="2064" spans="187:190" s="1" customFormat="1" ht="18" customHeight="1" x14ac:dyDescent="0.2">
      <c r="GE2064"/>
      <c r="GF2064"/>
      <c r="GG2064"/>
      <c r="GH2064"/>
    </row>
    <row r="2065" spans="187:190" s="1" customFormat="1" ht="18" customHeight="1" x14ac:dyDescent="0.2">
      <c r="GE2065"/>
      <c r="GF2065"/>
      <c r="GG2065"/>
      <c r="GH2065"/>
    </row>
    <row r="2066" spans="187:190" s="1" customFormat="1" ht="18" customHeight="1" x14ac:dyDescent="0.2">
      <c r="GE2066"/>
      <c r="GF2066"/>
      <c r="GG2066"/>
      <c r="GH2066"/>
    </row>
    <row r="2067" spans="187:190" s="1" customFormat="1" ht="18" customHeight="1" x14ac:dyDescent="0.2">
      <c r="GE2067"/>
      <c r="GF2067"/>
      <c r="GG2067"/>
      <c r="GH2067"/>
    </row>
    <row r="2068" spans="187:190" s="1" customFormat="1" ht="18" customHeight="1" x14ac:dyDescent="0.2">
      <c r="GE2068"/>
      <c r="GF2068"/>
      <c r="GG2068"/>
      <c r="GH2068"/>
    </row>
    <row r="2069" spans="187:190" s="1" customFormat="1" ht="18" customHeight="1" x14ac:dyDescent="0.2">
      <c r="GE2069"/>
      <c r="GF2069"/>
      <c r="GG2069"/>
      <c r="GH2069"/>
    </row>
    <row r="2070" spans="187:190" s="1" customFormat="1" ht="18" customHeight="1" x14ac:dyDescent="0.2">
      <c r="GE2070"/>
      <c r="GF2070"/>
      <c r="GG2070"/>
      <c r="GH2070"/>
    </row>
    <row r="2071" spans="187:190" s="1" customFormat="1" ht="18" customHeight="1" x14ac:dyDescent="0.2">
      <c r="GE2071"/>
      <c r="GF2071"/>
      <c r="GG2071"/>
      <c r="GH2071"/>
    </row>
    <row r="2072" spans="187:190" s="1" customFormat="1" ht="18" customHeight="1" x14ac:dyDescent="0.2">
      <c r="GE2072"/>
      <c r="GF2072"/>
      <c r="GG2072"/>
      <c r="GH2072"/>
    </row>
    <row r="2073" spans="187:190" s="1" customFormat="1" ht="18" customHeight="1" x14ac:dyDescent="0.2">
      <c r="GE2073"/>
      <c r="GF2073"/>
      <c r="GG2073"/>
      <c r="GH2073"/>
    </row>
    <row r="2074" spans="187:190" s="1" customFormat="1" ht="18" customHeight="1" x14ac:dyDescent="0.2">
      <c r="GE2074"/>
      <c r="GF2074"/>
      <c r="GG2074"/>
      <c r="GH2074"/>
    </row>
    <row r="2075" spans="187:190" s="1" customFormat="1" ht="18" customHeight="1" x14ac:dyDescent="0.2">
      <c r="GE2075"/>
      <c r="GF2075"/>
      <c r="GG2075"/>
      <c r="GH2075"/>
    </row>
    <row r="2076" spans="187:190" s="1" customFormat="1" ht="18" customHeight="1" x14ac:dyDescent="0.2">
      <c r="GE2076"/>
      <c r="GF2076"/>
      <c r="GG2076"/>
      <c r="GH2076"/>
    </row>
    <row r="2077" spans="187:190" s="1" customFormat="1" ht="18" customHeight="1" x14ac:dyDescent="0.2">
      <c r="GE2077"/>
      <c r="GF2077"/>
      <c r="GG2077"/>
      <c r="GH2077"/>
    </row>
    <row r="2078" spans="187:190" s="1" customFormat="1" ht="18" customHeight="1" x14ac:dyDescent="0.2">
      <c r="GE2078"/>
      <c r="GF2078"/>
      <c r="GG2078"/>
      <c r="GH2078"/>
    </row>
    <row r="2079" spans="187:190" s="1" customFormat="1" ht="18" customHeight="1" x14ac:dyDescent="0.2">
      <c r="GE2079"/>
      <c r="GF2079"/>
      <c r="GG2079"/>
      <c r="GH2079"/>
    </row>
    <row r="2080" spans="187:190" s="1" customFormat="1" ht="18" customHeight="1" x14ac:dyDescent="0.2">
      <c r="GE2080"/>
      <c r="GF2080"/>
      <c r="GG2080"/>
      <c r="GH2080"/>
    </row>
    <row r="2081" spans="187:190" s="1" customFormat="1" ht="18" customHeight="1" x14ac:dyDescent="0.2">
      <c r="GE2081"/>
      <c r="GF2081"/>
      <c r="GG2081"/>
      <c r="GH2081"/>
    </row>
    <row r="2082" spans="187:190" s="1" customFormat="1" ht="18" customHeight="1" x14ac:dyDescent="0.2">
      <c r="GE2082"/>
      <c r="GF2082"/>
      <c r="GG2082"/>
      <c r="GH2082"/>
    </row>
    <row r="2083" spans="187:190" s="1" customFormat="1" ht="18" customHeight="1" x14ac:dyDescent="0.2">
      <c r="GE2083"/>
      <c r="GF2083"/>
      <c r="GG2083"/>
      <c r="GH2083"/>
    </row>
    <row r="2084" spans="187:190" s="1" customFormat="1" ht="18" customHeight="1" x14ac:dyDescent="0.2">
      <c r="GE2084"/>
      <c r="GF2084"/>
      <c r="GG2084"/>
      <c r="GH2084"/>
    </row>
    <row r="2085" spans="187:190" s="1" customFormat="1" ht="18" customHeight="1" x14ac:dyDescent="0.2">
      <c r="GE2085"/>
      <c r="GF2085"/>
      <c r="GG2085"/>
      <c r="GH2085"/>
    </row>
    <row r="2086" spans="187:190" s="1" customFormat="1" ht="18" customHeight="1" x14ac:dyDescent="0.2">
      <c r="GE2086"/>
      <c r="GF2086"/>
      <c r="GG2086"/>
      <c r="GH2086"/>
    </row>
    <row r="2087" spans="187:190" s="1" customFormat="1" ht="18" customHeight="1" x14ac:dyDescent="0.2">
      <c r="GE2087"/>
      <c r="GF2087"/>
      <c r="GG2087"/>
      <c r="GH2087"/>
    </row>
    <row r="2088" spans="187:190" s="1" customFormat="1" ht="18" customHeight="1" x14ac:dyDescent="0.2">
      <c r="GE2088"/>
      <c r="GF2088"/>
      <c r="GG2088"/>
      <c r="GH2088"/>
    </row>
    <row r="2089" spans="187:190" s="1" customFormat="1" ht="18" customHeight="1" x14ac:dyDescent="0.2">
      <c r="GE2089"/>
      <c r="GF2089"/>
      <c r="GG2089"/>
      <c r="GH2089"/>
    </row>
    <row r="2090" spans="187:190" s="1" customFormat="1" ht="18" customHeight="1" x14ac:dyDescent="0.2">
      <c r="GE2090"/>
      <c r="GF2090"/>
      <c r="GG2090"/>
      <c r="GH2090"/>
    </row>
    <row r="2091" spans="187:190" s="1" customFormat="1" ht="18" customHeight="1" x14ac:dyDescent="0.2">
      <c r="GE2091"/>
      <c r="GF2091"/>
      <c r="GG2091"/>
      <c r="GH2091"/>
    </row>
    <row r="2092" spans="187:190" s="1" customFormat="1" ht="18" customHeight="1" x14ac:dyDescent="0.2">
      <c r="GE2092"/>
      <c r="GF2092"/>
      <c r="GG2092"/>
      <c r="GH2092"/>
    </row>
    <row r="2093" spans="187:190" s="1" customFormat="1" ht="18" customHeight="1" x14ac:dyDescent="0.2">
      <c r="GE2093"/>
      <c r="GF2093"/>
      <c r="GG2093"/>
      <c r="GH2093"/>
    </row>
    <row r="2094" spans="187:190" s="1" customFormat="1" ht="18" customHeight="1" x14ac:dyDescent="0.2">
      <c r="GE2094"/>
      <c r="GF2094"/>
      <c r="GG2094"/>
      <c r="GH2094"/>
    </row>
    <row r="2095" spans="187:190" s="1" customFormat="1" ht="18" customHeight="1" x14ac:dyDescent="0.2">
      <c r="GE2095"/>
      <c r="GF2095"/>
      <c r="GG2095"/>
      <c r="GH2095"/>
    </row>
    <row r="2096" spans="187:190" s="1" customFormat="1" ht="18" customHeight="1" x14ac:dyDescent="0.2">
      <c r="GE2096"/>
      <c r="GF2096"/>
      <c r="GG2096"/>
      <c r="GH2096"/>
    </row>
    <row r="2097" spans="187:190" s="1" customFormat="1" ht="18" customHeight="1" x14ac:dyDescent="0.2">
      <c r="GE2097"/>
      <c r="GF2097"/>
      <c r="GG2097"/>
      <c r="GH2097"/>
    </row>
    <row r="2098" spans="187:190" s="1" customFormat="1" ht="18" customHeight="1" x14ac:dyDescent="0.2">
      <c r="GE2098"/>
      <c r="GF2098"/>
      <c r="GG2098"/>
      <c r="GH2098"/>
    </row>
    <row r="2099" spans="187:190" s="1" customFormat="1" ht="18" customHeight="1" x14ac:dyDescent="0.2">
      <c r="GE2099"/>
      <c r="GF2099"/>
      <c r="GG2099"/>
      <c r="GH2099"/>
    </row>
    <row r="2100" spans="187:190" s="1" customFormat="1" ht="18" customHeight="1" x14ac:dyDescent="0.2">
      <c r="GE2100"/>
      <c r="GF2100"/>
      <c r="GG2100"/>
      <c r="GH2100"/>
    </row>
    <row r="2101" spans="187:190" s="1" customFormat="1" ht="18" customHeight="1" x14ac:dyDescent="0.2">
      <c r="GE2101"/>
      <c r="GF2101"/>
      <c r="GG2101"/>
      <c r="GH2101"/>
    </row>
    <row r="2102" spans="187:190" s="1" customFormat="1" ht="18" customHeight="1" x14ac:dyDescent="0.2">
      <c r="GE2102"/>
      <c r="GF2102"/>
      <c r="GG2102"/>
      <c r="GH2102"/>
    </row>
    <row r="2103" spans="187:190" s="1" customFormat="1" ht="18" customHeight="1" x14ac:dyDescent="0.2">
      <c r="GE2103"/>
      <c r="GF2103"/>
      <c r="GG2103"/>
      <c r="GH2103"/>
    </row>
    <row r="2104" spans="187:190" s="1" customFormat="1" ht="18" customHeight="1" x14ac:dyDescent="0.2">
      <c r="GE2104"/>
      <c r="GF2104"/>
      <c r="GG2104"/>
      <c r="GH2104"/>
    </row>
    <row r="2105" spans="187:190" s="1" customFormat="1" ht="18" customHeight="1" x14ac:dyDescent="0.2">
      <c r="GE2105"/>
      <c r="GF2105"/>
      <c r="GG2105"/>
      <c r="GH2105"/>
    </row>
    <row r="2106" spans="187:190" s="1" customFormat="1" ht="18" customHeight="1" x14ac:dyDescent="0.2">
      <c r="GE2106"/>
      <c r="GF2106"/>
      <c r="GG2106"/>
      <c r="GH2106"/>
    </row>
    <row r="2107" spans="187:190" s="1" customFormat="1" ht="18" customHeight="1" x14ac:dyDescent="0.2">
      <c r="GE2107"/>
      <c r="GF2107"/>
      <c r="GG2107"/>
      <c r="GH2107"/>
    </row>
    <row r="2108" spans="187:190" s="1" customFormat="1" ht="18" customHeight="1" x14ac:dyDescent="0.2">
      <c r="GE2108"/>
      <c r="GF2108"/>
      <c r="GG2108"/>
      <c r="GH2108"/>
    </row>
    <row r="2109" spans="187:190" s="1" customFormat="1" ht="18" customHeight="1" x14ac:dyDescent="0.2">
      <c r="GE2109"/>
      <c r="GF2109"/>
      <c r="GG2109"/>
      <c r="GH2109"/>
    </row>
    <row r="2110" spans="187:190" s="1" customFormat="1" ht="18" customHeight="1" x14ac:dyDescent="0.2">
      <c r="GE2110"/>
      <c r="GF2110"/>
      <c r="GG2110"/>
      <c r="GH2110"/>
    </row>
    <row r="2111" spans="187:190" s="1" customFormat="1" ht="18" customHeight="1" x14ac:dyDescent="0.2">
      <c r="GE2111"/>
      <c r="GF2111"/>
      <c r="GG2111"/>
      <c r="GH2111"/>
    </row>
    <row r="2112" spans="187:190" s="1" customFormat="1" ht="18" customHeight="1" x14ac:dyDescent="0.2">
      <c r="GE2112"/>
      <c r="GF2112"/>
      <c r="GG2112"/>
      <c r="GH2112"/>
    </row>
    <row r="2113" spans="187:190" s="1" customFormat="1" ht="18" customHeight="1" x14ac:dyDescent="0.2">
      <c r="GE2113"/>
      <c r="GF2113"/>
      <c r="GG2113"/>
      <c r="GH2113"/>
    </row>
    <row r="2114" spans="187:190" s="1" customFormat="1" ht="18" customHeight="1" x14ac:dyDescent="0.2">
      <c r="GE2114"/>
      <c r="GF2114"/>
      <c r="GG2114"/>
      <c r="GH2114"/>
    </row>
    <row r="2115" spans="187:190" s="1" customFormat="1" ht="18" customHeight="1" x14ac:dyDescent="0.2">
      <c r="GE2115"/>
      <c r="GF2115"/>
      <c r="GG2115"/>
      <c r="GH2115"/>
    </row>
    <row r="2116" spans="187:190" s="1" customFormat="1" ht="18" customHeight="1" x14ac:dyDescent="0.2">
      <c r="GE2116"/>
      <c r="GF2116"/>
      <c r="GG2116"/>
      <c r="GH2116"/>
    </row>
    <row r="2117" spans="187:190" s="1" customFormat="1" ht="18" customHeight="1" x14ac:dyDescent="0.2">
      <c r="GE2117"/>
      <c r="GF2117"/>
      <c r="GG2117"/>
      <c r="GH2117"/>
    </row>
    <row r="2118" spans="187:190" s="1" customFormat="1" ht="18" customHeight="1" x14ac:dyDescent="0.2">
      <c r="GE2118"/>
      <c r="GF2118"/>
      <c r="GG2118"/>
      <c r="GH2118"/>
    </row>
    <row r="2119" spans="187:190" s="1" customFormat="1" ht="18" customHeight="1" x14ac:dyDescent="0.2">
      <c r="GE2119"/>
      <c r="GF2119"/>
      <c r="GG2119"/>
      <c r="GH2119"/>
    </row>
    <row r="2120" spans="187:190" s="1" customFormat="1" ht="18" customHeight="1" x14ac:dyDescent="0.2">
      <c r="GE2120"/>
      <c r="GF2120"/>
      <c r="GG2120"/>
      <c r="GH2120"/>
    </row>
    <row r="2121" spans="187:190" s="1" customFormat="1" ht="18" customHeight="1" x14ac:dyDescent="0.2">
      <c r="GE2121"/>
      <c r="GF2121"/>
      <c r="GG2121"/>
      <c r="GH2121"/>
    </row>
    <row r="2122" spans="187:190" s="1" customFormat="1" ht="18" customHeight="1" x14ac:dyDescent="0.2">
      <c r="GE2122"/>
      <c r="GF2122"/>
      <c r="GG2122"/>
      <c r="GH2122"/>
    </row>
    <row r="2123" spans="187:190" s="1" customFormat="1" ht="18" customHeight="1" x14ac:dyDescent="0.2">
      <c r="GE2123"/>
      <c r="GF2123"/>
      <c r="GG2123"/>
      <c r="GH2123"/>
    </row>
    <row r="2124" spans="187:190" s="1" customFormat="1" ht="18" customHeight="1" x14ac:dyDescent="0.2">
      <c r="GE2124"/>
      <c r="GF2124"/>
      <c r="GG2124"/>
      <c r="GH2124"/>
    </row>
    <row r="2125" spans="187:190" s="1" customFormat="1" ht="18" customHeight="1" x14ac:dyDescent="0.2">
      <c r="GE2125"/>
      <c r="GF2125"/>
      <c r="GG2125"/>
      <c r="GH2125"/>
    </row>
    <row r="2126" spans="187:190" s="1" customFormat="1" ht="18" customHeight="1" x14ac:dyDescent="0.2">
      <c r="GE2126"/>
      <c r="GF2126"/>
      <c r="GG2126"/>
      <c r="GH2126"/>
    </row>
    <row r="2127" spans="187:190" s="1" customFormat="1" ht="18" customHeight="1" x14ac:dyDescent="0.2">
      <c r="GE2127"/>
      <c r="GF2127"/>
      <c r="GG2127"/>
      <c r="GH2127"/>
    </row>
    <row r="2128" spans="187:190" s="1" customFormat="1" ht="18" customHeight="1" x14ac:dyDescent="0.2">
      <c r="GE2128"/>
      <c r="GF2128"/>
      <c r="GG2128"/>
      <c r="GH2128"/>
    </row>
    <row r="2129" spans="187:190" s="1" customFormat="1" ht="18" customHeight="1" x14ac:dyDescent="0.2">
      <c r="GE2129"/>
      <c r="GF2129"/>
      <c r="GG2129"/>
      <c r="GH2129"/>
    </row>
    <row r="2130" spans="187:190" s="1" customFormat="1" ht="18" customHeight="1" x14ac:dyDescent="0.2">
      <c r="GE2130"/>
      <c r="GF2130"/>
      <c r="GG2130"/>
      <c r="GH2130"/>
    </row>
    <row r="2131" spans="187:190" s="1" customFormat="1" ht="18" customHeight="1" x14ac:dyDescent="0.2">
      <c r="GE2131"/>
      <c r="GF2131"/>
      <c r="GG2131"/>
      <c r="GH2131"/>
    </row>
    <row r="2132" spans="187:190" s="1" customFormat="1" ht="18" customHeight="1" x14ac:dyDescent="0.2">
      <c r="GE2132"/>
      <c r="GF2132"/>
      <c r="GG2132"/>
      <c r="GH2132"/>
    </row>
    <row r="2133" spans="187:190" s="1" customFormat="1" ht="18" customHeight="1" x14ac:dyDescent="0.2">
      <c r="GE2133"/>
      <c r="GF2133"/>
      <c r="GG2133"/>
      <c r="GH2133"/>
    </row>
    <row r="2134" spans="187:190" s="1" customFormat="1" ht="18" customHeight="1" x14ac:dyDescent="0.2">
      <c r="GE2134"/>
      <c r="GF2134"/>
      <c r="GG2134"/>
      <c r="GH2134"/>
    </row>
    <row r="2135" spans="187:190" s="1" customFormat="1" ht="18" customHeight="1" x14ac:dyDescent="0.2">
      <c r="GE2135"/>
      <c r="GF2135"/>
      <c r="GG2135"/>
      <c r="GH2135"/>
    </row>
    <row r="2136" spans="187:190" s="1" customFormat="1" ht="18" customHeight="1" x14ac:dyDescent="0.2">
      <c r="GE2136"/>
      <c r="GF2136"/>
      <c r="GG2136"/>
      <c r="GH2136"/>
    </row>
    <row r="2137" spans="187:190" s="1" customFormat="1" ht="18" customHeight="1" x14ac:dyDescent="0.2">
      <c r="GE2137"/>
      <c r="GF2137"/>
      <c r="GG2137"/>
      <c r="GH2137"/>
    </row>
    <row r="2138" spans="187:190" s="1" customFormat="1" ht="18" customHeight="1" x14ac:dyDescent="0.2">
      <c r="GE2138"/>
      <c r="GF2138"/>
      <c r="GG2138"/>
      <c r="GH2138"/>
    </row>
    <row r="2139" spans="187:190" s="1" customFormat="1" ht="18" customHeight="1" x14ac:dyDescent="0.2">
      <c r="GE2139"/>
      <c r="GF2139"/>
      <c r="GG2139"/>
      <c r="GH2139"/>
    </row>
    <row r="2140" spans="187:190" s="1" customFormat="1" ht="18" customHeight="1" x14ac:dyDescent="0.2">
      <c r="GE2140"/>
      <c r="GF2140"/>
      <c r="GG2140"/>
      <c r="GH2140"/>
    </row>
    <row r="2141" spans="187:190" s="1" customFormat="1" ht="18" customHeight="1" x14ac:dyDescent="0.2">
      <c r="GE2141"/>
      <c r="GF2141"/>
      <c r="GG2141"/>
      <c r="GH2141"/>
    </row>
    <row r="2142" spans="187:190" s="1" customFormat="1" ht="18" customHeight="1" x14ac:dyDescent="0.2">
      <c r="GE2142"/>
      <c r="GF2142"/>
      <c r="GG2142"/>
      <c r="GH2142"/>
    </row>
    <row r="2143" spans="187:190" s="1" customFormat="1" ht="18" customHeight="1" x14ac:dyDescent="0.2">
      <c r="GE2143"/>
      <c r="GF2143"/>
      <c r="GG2143"/>
      <c r="GH2143"/>
    </row>
    <row r="2144" spans="187:190" s="1" customFormat="1" ht="18" customHeight="1" x14ac:dyDescent="0.2">
      <c r="GE2144"/>
      <c r="GF2144"/>
      <c r="GG2144"/>
      <c r="GH2144"/>
    </row>
    <row r="2145" spans="187:190" s="1" customFormat="1" ht="18" customHeight="1" x14ac:dyDescent="0.2">
      <c r="GE2145"/>
      <c r="GF2145"/>
      <c r="GG2145"/>
      <c r="GH2145"/>
    </row>
    <row r="2146" spans="187:190" s="1" customFormat="1" ht="18" customHeight="1" x14ac:dyDescent="0.2">
      <c r="GE2146"/>
      <c r="GF2146"/>
      <c r="GG2146"/>
      <c r="GH2146"/>
    </row>
    <row r="2147" spans="187:190" s="1" customFormat="1" ht="18" customHeight="1" x14ac:dyDescent="0.2">
      <c r="GE2147"/>
      <c r="GF2147"/>
      <c r="GG2147"/>
      <c r="GH2147"/>
    </row>
    <row r="2148" spans="187:190" s="1" customFormat="1" ht="18" customHeight="1" x14ac:dyDescent="0.2">
      <c r="GE2148"/>
      <c r="GF2148"/>
      <c r="GG2148"/>
      <c r="GH2148"/>
    </row>
    <row r="2149" spans="187:190" s="1" customFormat="1" ht="18" customHeight="1" x14ac:dyDescent="0.2">
      <c r="GE2149"/>
      <c r="GF2149"/>
      <c r="GG2149"/>
      <c r="GH2149"/>
    </row>
    <row r="2150" spans="187:190" s="1" customFormat="1" ht="18" customHeight="1" x14ac:dyDescent="0.2">
      <c r="GE2150"/>
      <c r="GF2150"/>
      <c r="GG2150"/>
      <c r="GH2150"/>
    </row>
    <row r="2151" spans="187:190" s="1" customFormat="1" ht="18" customHeight="1" x14ac:dyDescent="0.2">
      <c r="GE2151"/>
      <c r="GF2151"/>
      <c r="GG2151"/>
      <c r="GH2151"/>
    </row>
    <row r="2152" spans="187:190" s="1" customFormat="1" ht="18" customHeight="1" x14ac:dyDescent="0.2">
      <c r="GE2152"/>
      <c r="GF2152"/>
      <c r="GG2152"/>
      <c r="GH2152"/>
    </row>
    <row r="2153" spans="187:190" s="1" customFormat="1" ht="18" customHeight="1" x14ac:dyDescent="0.2">
      <c r="GE2153"/>
      <c r="GF2153"/>
      <c r="GG2153"/>
      <c r="GH2153"/>
    </row>
    <row r="2154" spans="187:190" s="1" customFormat="1" ht="18" customHeight="1" x14ac:dyDescent="0.2">
      <c r="GE2154"/>
      <c r="GF2154"/>
      <c r="GG2154"/>
      <c r="GH2154"/>
    </row>
    <row r="2155" spans="187:190" s="1" customFormat="1" ht="18" customHeight="1" x14ac:dyDescent="0.2">
      <c r="GE2155"/>
      <c r="GF2155"/>
      <c r="GG2155"/>
      <c r="GH2155"/>
    </row>
    <row r="2156" spans="187:190" s="1" customFormat="1" ht="18" customHeight="1" x14ac:dyDescent="0.2">
      <c r="GE2156"/>
      <c r="GF2156"/>
      <c r="GG2156"/>
      <c r="GH2156"/>
    </row>
    <row r="2157" spans="187:190" s="1" customFormat="1" ht="18" customHeight="1" x14ac:dyDescent="0.2">
      <c r="GE2157"/>
      <c r="GF2157"/>
      <c r="GG2157"/>
      <c r="GH2157"/>
    </row>
    <row r="2158" spans="187:190" s="1" customFormat="1" ht="18" customHeight="1" x14ac:dyDescent="0.2">
      <c r="GE2158"/>
      <c r="GF2158"/>
      <c r="GG2158"/>
      <c r="GH2158"/>
    </row>
    <row r="2159" spans="187:190" s="1" customFormat="1" ht="18" customHeight="1" x14ac:dyDescent="0.2">
      <c r="GE2159"/>
      <c r="GF2159"/>
      <c r="GG2159"/>
      <c r="GH2159"/>
    </row>
    <row r="2160" spans="187:190" s="1" customFormat="1" ht="18" customHeight="1" x14ac:dyDescent="0.2">
      <c r="GE2160"/>
      <c r="GF2160"/>
      <c r="GG2160"/>
      <c r="GH2160"/>
    </row>
    <row r="2161" spans="187:190" s="1" customFormat="1" ht="18" customHeight="1" x14ac:dyDescent="0.2">
      <c r="GE2161"/>
      <c r="GF2161"/>
      <c r="GG2161"/>
      <c r="GH2161"/>
    </row>
    <row r="2162" spans="187:190" s="1" customFormat="1" ht="18" customHeight="1" x14ac:dyDescent="0.2">
      <c r="GE2162"/>
      <c r="GF2162"/>
      <c r="GG2162"/>
      <c r="GH2162"/>
    </row>
    <row r="2163" spans="187:190" s="1" customFormat="1" ht="18" customHeight="1" x14ac:dyDescent="0.2">
      <c r="GE2163"/>
      <c r="GF2163"/>
      <c r="GG2163"/>
      <c r="GH2163"/>
    </row>
    <row r="2164" spans="187:190" s="1" customFormat="1" ht="18" customHeight="1" x14ac:dyDescent="0.2">
      <c r="GE2164"/>
      <c r="GF2164"/>
      <c r="GG2164"/>
      <c r="GH2164"/>
    </row>
    <row r="2165" spans="187:190" s="1" customFormat="1" ht="18" customHeight="1" x14ac:dyDescent="0.2">
      <c r="GE2165"/>
      <c r="GF2165"/>
      <c r="GG2165"/>
      <c r="GH2165"/>
    </row>
    <row r="2166" spans="187:190" s="1" customFormat="1" ht="18" customHeight="1" x14ac:dyDescent="0.2">
      <c r="GE2166"/>
      <c r="GF2166"/>
      <c r="GG2166"/>
      <c r="GH2166"/>
    </row>
    <row r="2167" spans="187:190" s="1" customFormat="1" ht="18" customHeight="1" x14ac:dyDescent="0.2">
      <c r="GE2167"/>
      <c r="GF2167"/>
      <c r="GG2167"/>
      <c r="GH2167"/>
    </row>
    <row r="2168" spans="187:190" s="1" customFormat="1" ht="18" customHeight="1" x14ac:dyDescent="0.2">
      <c r="GE2168"/>
      <c r="GF2168"/>
      <c r="GG2168"/>
      <c r="GH2168"/>
    </row>
    <row r="2169" spans="187:190" s="1" customFormat="1" ht="18" customHeight="1" x14ac:dyDescent="0.2">
      <c r="GE2169"/>
      <c r="GF2169"/>
      <c r="GG2169"/>
      <c r="GH2169"/>
    </row>
    <row r="2170" spans="187:190" s="1" customFormat="1" ht="18" customHeight="1" x14ac:dyDescent="0.2">
      <c r="GE2170"/>
      <c r="GF2170"/>
      <c r="GG2170"/>
      <c r="GH2170"/>
    </row>
    <row r="2171" spans="187:190" s="1" customFormat="1" ht="18" customHeight="1" x14ac:dyDescent="0.2">
      <c r="GE2171"/>
      <c r="GF2171"/>
      <c r="GG2171"/>
      <c r="GH2171"/>
    </row>
    <row r="2172" spans="187:190" s="1" customFormat="1" ht="18" customHeight="1" x14ac:dyDescent="0.2">
      <c r="GE2172"/>
      <c r="GF2172"/>
      <c r="GG2172"/>
      <c r="GH2172"/>
    </row>
    <row r="2173" spans="187:190" s="1" customFormat="1" ht="18" customHeight="1" x14ac:dyDescent="0.2">
      <c r="GE2173"/>
      <c r="GF2173"/>
      <c r="GG2173"/>
      <c r="GH2173"/>
    </row>
    <row r="2174" spans="187:190" s="1" customFormat="1" ht="18" customHeight="1" x14ac:dyDescent="0.2">
      <c r="GE2174"/>
      <c r="GF2174"/>
      <c r="GG2174"/>
      <c r="GH2174"/>
    </row>
    <row r="2175" spans="187:190" s="1" customFormat="1" ht="18" customHeight="1" x14ac:dyDescent="0.2">
      <c r="GE2175"/>
      <c r="GF2175"/>
      <c r="GG2175"/>
      <c r="GH2175"/>
    </row>
    <row r="2176" spans="187:190" s="1" customFormat="1" ht="18" customHeight="1" x14ac:dyDescent="0.2">
      <c r="GE2176"/>
      <c r="GF2176"/>
      <c r="GG2176"/>
      <c r="GH2176"/>
    </row>
    <row r="2177" spans="187:190" s="1" customFormat="1" ht="18" customHeight="1" x14ac:dyDescent="0.2">
      <c r="GE2177"/>
      <c r="GF2177"/>
      <c r="GG2177"/>
      <c r="GH2177"/>
    </row>
    <row r="2178" spans="187:190" s="1" customFormat="1" ht="18" customHeight="1" x14ac:dyDescent="0.2">
      <c r="GE2178"/>
      <c r="GF2178"/>
      <c r="GG2178"/>
      <c r="GH2178"/>
    </row>
    <row r="2179" spans="187:190" s="1" customFormat="1" ht="18" customHeight="1" x14ac:dyDescent="0.2">
      <c r="GE2179"/>
      <c r="GF2179"/>
      <c r="GG2179"/>
      <c r="GH2179"/>
    </row>
    <row r="2180" spans="187:190" s="1" customFormat="1" ht="18" customHeight="1" x14ac:dyDescent="0.2">
      <c r="GE2180"/>
      <c r="GF2180"/>
      <c r="GG2180"/>
      <c r="GH2180"/>
    </row>
    <row r="2181" spans="187:190" s="1" customFormat="1" ht="18" customHeight="1" x14ac:dyDescent="0.2">
      <c r="GE2181"/>
      <c r="GF2181"/>
      <c r="GG2181"/>
      <c r="GH2181"/>
    </row>
    <row r="2182" spans="187:190" s="1" customFormat="1" ht="18" customHeight="1" x14ac:dyDescent="0.2">
      <c r="GE2182"/>
      <c r="GF2182"/>
      <c r="GG2182"/>
      <c r="GH2182"/>
    </row>
    <row r="2183" spans="187:190" s="1" customFormat="1" ht="18" customHeight="1" x14ac:dyDescent="0.2">
      <c r="GE2183"/>
      <c r="GF2183"/>
      <c r="GG2183"/>
      <c r="GH2183"/>
    </row>
    <row r="2184" spans="187:190" s="1" customFormat="1" ht="18" customHeight="1" x14ac:dyDescent="0.2">
      <c r="GE2184"/>
      <c r="GF2184"/>
      <c r="GG2184"/>
      <c r="GH2184"/>
    </row>
    <row r="2185" spans="187:190" s="1" customFormat="1" ht="18" customHeight="1" x14ac:dyDescent="0.2">
      <c r="GE2185"/>
      <c r="GF2185"/>
      <c r="GG2185"/>
      <c r="GH2185"/>
    </row>
    <row r="2186" spans="187:190" s="1" customFormat="1" ht="18" customHeight="1" x14ac:dyDescent="0.2">
      <c r="GE2186"/>
      <c r="GF2186"/>
      <c r="GG2186"/>
      <c r="GH2186"/>
    </row>
    <row r="2187" spans="187:190" s="1" customFormat="1" ht="18" customHeight="1" x14ac:dyDescent="0.2">
      <c r="GE2187"/>
      <c r="GF2187"/>
      <c r="GG2187"/>
      <c r="GH2187"/>
    </row>
    <row r="2188" spans="187:190" s="1" customFormat="1" ht="18" customHeight="1" x14ac:dyDescent="0.2">
      <c r="GE2188"/>
      <c r="GF2188"/>
      <c r="GG2188"/>
      <c r="GH2188"/>
    </row>
    <row r="2189" spans="187:190" s="1" customFormat="1" ht="18" customHeight="1" x14ac:dyDescent="0.2">
      <c r="GE2189"/>
      <c r="GF2189"/>
      <c r="GG2189"/>
      <c r="GH2189"/>
    </row>
    <row r="2190" spans="187:190" s="1" customFormat="1" ht="18" customHeight="1" x14ac:dyDescent="0.2">
      <c r="GE2190"/>
      <c r="GF2190"/>
      <c r="GG2190"/>
      <c r="GH2190"/>
    </row>
    <row r="2191" spans="187:190" s="1" customFormat="1" ht="18" customHeight="1" x14ac:dyDescent="0.2">
      <c r="GE2191"/>
      <c r="GF2191"/>
      <c r="GG2191"/>
      <c r="GH2191"/>
    </row>
    <row r="2192" spans="187:190" s="1" customFormat="1" ht="18" customHeight="1" x14ac:dyDescent="0.2">
      <c r="GE2192"/>
      <c r="GF2192"/>
      <c r="GG2192"/>
      <c r="GH2192"/>
    </row>
    <row r="2193" spans="187:190" s="1" customFormat="1" ht="18" customHeight="1" x14ac:dyDescent="0.2">
      <c r="GE2193"/>
      <c r="GF2193"/>
      <c r="GG2193"/>
      <c r="GH2193"/>
    </row>
    <row r="2194" spans="187:190" s="1" customFormat="1" ht="18" customHeight="1" x14ac:dyDescent="0.2">
      <c r="GE2194"/>
      <c r="GF2194"/>
      <c r="GG2194"/>
      <c r="GH2194"/>
    </row>
    <row r="2195" spans="187:190" s="1" customFormat="1" ht="18" customHeight="1" x14ac:dyDescent="0.2">
      <c r="GE2195"/>
      <c r="GF2195"/>
      <c r="GG2195"/>
      <c r="GH2195"/>
    </row>
    <row r="2196" spans="187:190" s="1" customFormat="1" ht="18" customHeight="1" x14ac:dyDescent="0.2">
      <c r="GE2196"/>
      <c r="GF2196"/>
      <c r="GG2196"/>
      <c r="GH2196"/>
    </row>
    <row r="2197" spans="187:190" s="1" customFormat="1" ht="18" customHeight="1" x14ac:dyDescent="0.2">
      <c r="GE2197"/>
      <c r="GF2197"/>
      <c r="GG2197"/>
      <c r="GH2197"/>
    </row>
    <row r="2198" spans="187:190" s="1" customFormat="1" ht="18" customHeight="1" x14ac:dyDescent="0.2">
      <c r="GE2198"/>
      <c r="GF2198"/>
      <c r="GG2198"/>
      <c r="GH2198"/>
    </row>
    <row r="2199" spans="187:190" s="1" customFormat="1" ht="18" customHeight="1" x14ac:dyDescent="0.2">
      <c r="GE2199"/>
      <c r="GF2199"/>
      <c r="GG2199"/>
      <c r="GH2199"/>
    </row>
    <row r="2200" spans="187:190" s="1" customFormat="1" ht="18" customHeight="1" x14ac:dyDescent="0.2">
      <c r="GE2200"/>
      <c r="GF2200"/>
      <c r="GG2200"/>
      <c r="GH2200"/>
    </row>
    <row r="2201" spans="187:190" s="1" customFormat="1" ht="18" customHeight="1" x14ac:dyDescent="0.2">
      <c r="GE2201"/>
      <c r="GF2201"/>
      <c r="GG2201"/>
      <c r="GH2201"/>
    </row>
    <row r="2202" spans="187:190" s="1" customFormat="1" ht="18" customHeight="1" x14ac:dyDescent="0.2">
      <c r="GE2202"/>
      <c r="GF2202"/>
      <c r="GG2202"/>
      <c r="GH2202"/>
    </row>
    <row r="2203" spans="187:190" s="1" customFormat="1" ht="18" customHeight="1" x14ac:dyDescent="0.2">
      <c r="GE2203"/>
      <c r="GF2203"/>
      <c r="GG2203"/>
      <c r="GH2203"/>
    </row>
    <row r="2204" spans="187:190" s="1" customFormat="1" ht="18" customHeight="1" x14ac:dyDescent="0.2">
      <c r="GE2204"/>
      <c r="GF2204"/>
      <c r="GG2204"/>
      <c r="GH2204"/>
    </row>
    <row r="2205" spans="187:190" s="1" customFormat="1" ht="18" customHeight="1" x14ac:dyDescent="0.2">
      <c r="GE2205"/>
      <c r="GF2205"/>
      <c r="GG2205"/>
      <c r="GH2205"/>
    </row>
    <row r="2206" spans="187:190" s="1" customFormat="1" ht="18" customHeight="1" x14ac:dyDescent="0.2">
      <c r="GE2206"/>
      <c r="GF2206"/>
      <c r="GG2206"/>
      <c r="GH2206"/>
    </row>
    <row r="2207" spans="187:190" s="1" customFormat="1" ht="18" customHeight="1" x14ac:dyDescent="0.2">
      <c r="GE2207"/>
      <c r="GF2207"/>
      <c r="GG2207"/>
      <c r="GH2207"/>
    </row>
    <row r="2208" spans="187:190" s="1" customFormat="1" ht="18" customHeight="1" x14ac:dyDescent="0.2">
      <c r="GE2208"/>
      <c r="GF2208"/>
      <c r="GG2208"/>
      <c r="GH2208"/>
    </row>
    <row r="2209" spans="187:190" s="1" customFormat="1" ht="18" customHeight="1" x14ac:dyDescent="0.2">
      <c r="GE2209"/>
      <c r="GF2209"/>
      <c r="GG2209"/>
      <c r="GH2209"/>
    </row>
    <row r="2210" spans="187:190" s="1" customFormat="1" ht="18" customHeight="1" x14ac:dyDescent="0.2">
      <c r="GE2210"/>
      <c r="GF2210"/>
      <c r="GG2210"/>
      <c r="GH2210"/>
    </row>
    <row r="2211" spans="187:190" s="1" customFormat="1" ht="18" customHeight="1" x14ac:dyDescent="0.2">
      <c r="GE2211"/>
      <c r="GF2211"/>
      <c r="GG2211"/>
      <c r="GH2211"/>
    </row>
    <row r="2212" spans="187:190" s="1" customFormat="1" ht="18" customHeight="1" x14ac:dyDescent="0.2">
      <c r="GE2212"/>
      <c r="GF2212"/>
      <c r="GG2212"/>
      <c r="GH2212"/>
    </row>
    <row r="2213" spans="187:190" s="1" customFormat="1" ht="18" customHeight="1" x14ac:dyDescent="0.2">
      <c r="GE2213"/>
      <c r="GF2213"/>
      <c r="GG2213"/>
      <c r="GH2213"/>
    </row>
    <row r="2214" spans="187:190" s="1" customFormat="1" ht="18" customHeight="1" x14ac:dyDescent="0.2">
      <c r="GE2214"/>
      <c r="GF2214"/>
      <c r="GG2214"/>
      <c r="GH2214"/>
    </row>
    <row r="2215" spans="187:190" s="1" customFormat="1" ht="18" customHeight="1" x14ac:dyDescent="0.2">
      <c r="GE2215"/>
      <c r="GF2215"/>
      <c r="GG2215"/>
      <c r="GH2215"/>
    </row>
    <row r="2216" spans="187:190" s="1" customFormat="1" ht="18" customHeight="1" x14ac:dyDescent="0.2">
      <c r="GE2216"/>
      <c r="GF2216"/>
      <c r="GG2216"/>
      <c r="GH2216"/>
    </row>
    <row r="2217" spans="187:190" s="1" customFormat="1" ht="18" customHeight="1" x14ac:dyDescent="0.2">
      <c r="GE2217"/>
      <c r="GF2217"/>
      <c r="GG2217"/>
      <c r="GH2217"/>
    </row>
    <row r="2218" spans="187:190" s="1" customFormat="1" ht="18" customHeight="1" x14ac:dyDescent="0.2">
      <c r="GE2218"/>
      <c r="GF2218"/>
      <c r="GG2218"/>
      <c r="GH2218"/>
    </row>
    <row r="2219" spans="187:190" s="1" customFormat="1" ht="18" customHeight="1" x14ac:dyDescent="0.2">
      <c r="GE2219"/>
      <c r="GF2219"/>
      <c r="GG2219"/>
      <c r="GH2219"/>
    </row>
    <row r="2220" spans="187:190" s="1" customFormat="1" ht="18" customHeight="1" x14ac:dyDescent="0.2">
      <c r="GE2220"/>
      <c r="GF2220"/>
      <c r="GG2220"/>
      <c r="GH2220"/>
    </row>
    <row r="2221" spans="187:190" s="1" customFormat="1" ht="18" customHeight="1" x14ac:dyDescent="0.2">
      <c r="GE2221"/>
      <c r="GF2221"/>
      <c r="GG2221"/>
      <c r="GH2221"/>
    </row>
    <row r="2222" spans="187:190" s="1" customFormat="1" ht="18" customHeight="1" x14ac:dyDescent="0.2">
      <c r="GE2222"/>
      <c r="GF2222"/>
      <c r="GG2222"/>
      <c r="GH2222"/>
    </row>
    <row r="2223" spans="187:190" s="1" customFormat="1" ht="18" customHeight="1" x14ac:dyDescent="0.2">
      <c r="GE2223"/>
      <c r="GF2223"/>
      <c r="GG2223"/>
      <c r="GH2223"/>
    </row>
    <row r="2224" spans="187:190" s="1" customFormat="1" ht="18" customHeight="1" x14ac:dyDescent="0.2">
      <c r="GE2224"/>
      <c r="GF2224"/>
      <c r="GG2224"/>
      <c r="GH2224"/>
    </row>
    <row r="2225" spans="187:190" s="1" customFormat="1" ht="18" customHeight="1" x14ac:dyDescent="0.2">
      <c r="GE2225"/>
      <c r="GF2225"/>
      <c r="GG2225"/>
      <c r="GH2225"/>
    </row>
    <row r="2226" spans="187:190" s="1" customFormat="1" ht="18" customHeight="1" x14ac:dyDescent="0.2">
      <c r="GE2226"/>
      <c r="GF2226"/>
      <c r="GG2226"/>
      <c r="GH2226"/>
    </row>
    <row r="2227" spans="187:190" s="1" customFormat="1" ht="18" customHeight="1" x14ac:dyDescent="0.2">
      <c r="GE2227"/>
      <c r="GF2227"/>
      <c r="GG2227"/>
      <c r="GH2227"/>
    </row>
    <row r="2228" spans="187:190" s="1" customFormat="1" ht="18" customHeight="1" x14ac:dyDescent="0.2">
      <c r="GE2228"/>
      <c r="GF2228"/>
      <c r="GG2228"/>
      <c r="GH2228"/>
    </row>
    <row r="2229" spans="187:190" s="1" customFormat="1" ht="18" customHeight="1" x14ac:dyDescent="0.2">
      <c r="GE2229"/>
      <c r="GF2229"/>
      <c r="GG2229"/>
      <c r="GH2229"/>
    </row>
    <row r="2230" spans="187:190" s="1" customFormat="1" ht="18" customHeight="1" x14ac:dyDescent="0.2">
      <c r="GE2230"/>
      <c r="GF2230"/>
      <c r="GG2230"/>
      <c r="GH2230"/>
    </row>
    <row r="2231" spans="187:190" s="1" customFormat="1" ht="18" customHeight="1" x14ac:dyDescent="0.2">
      <c r="GE2231"/>
      <c r="GF2231"/>
      <c r="GG2231"/>
      <c r="GH2231"/>
    </row>
    <row r="2232" spans="187:190" s="1" customFormat="1" ht="18" customHeight="1" x14ac:dyDescent="0.2">
      <c r="GE2232"/>
      <c r="GF2232"/>
      <c r="GG2232"/>
      <c r="GH2232"/>
    </row>
    <row r="2233" spans="187:190" s="1" customFormat="1" ht="18" customHeight="1" x14ac:dyDescent="0.2">
      <c r="GE2233"/>
      <c r="GF2233"/>
      <c r="GG2233"/>
      <c r="GH2233"/>
    </row>
    <row r="2234" spans="187:190" s="1" customFormat="1" ht="18" customHeight="1" x14ac:dyDescent="0.2">
      <c r="GE2234"/>
      <c r="GF2234"/>
      <c r="GG2234"/>
      <c r="GH2234"/>
    </row>
    <row r="2235" spans="187:190" s="1" customFormat="1" ht="18" customHeight="1" x14ac:dyDescent="0.2">
      <c r="GE2235"/>
      <c r="GF2235"/>
      <c r="GG2235"/>
      <c r="GH2235"/>
    </row>
    <row r="2236" spans="187:190" s="1" customFormat="1" ht="18" customHeight="1" x14ac:dyDescent="0.2">
      <c r="GE2236"/>
      <c r="GF2236"/>
      <c r="GG2236"/>
      <c r="GH2236"/>
    </row>
    <row r="2237" spans="187:190" s="1" customFormat="1" ht="18" customHeight="1" x14ac:dyDescent="0.2">
      <c r="GE2237"/>
      <c r="GF2237"/>
      <c r="GG2237"/>
      <c r="GH2237"/>
    </row>
    <row r="2238" spans="187:190" s="1" customFormat="1" ht="18" customHeight="1" x14ac:dyDescent="0.2">
      <c r="GE2238"/>
      <c r="GF2238"/>
      <c r="GG2238"/>
      <c r="GH2238"/>
    </row>
    <row r="2239" spans="187:190" s="1" customFormat="1" ht="18" customHeight="1" x14ac:dyDescent="0.2">
      <c r="GE2239"/>
      <c r="GF2239"/>
      <c r="GG2239"/>
      <c r="GH2239"/>
    </row>
    <row r="2240" spans="187:190" s="1" customFormat="1" ht="18" customHeight="1" x14ac:dyDescent="0.2">
      <c r="GE2240"/>
      <c r="GF2240"/>
      <c r="GG2240"/>
      <c r="GH2240"/>
    </row>
    <row r="2241" spans="187:190" s="1" customFormat="1" ht="18" customHeight="1" x14ac:dyDescent="0.2">
      <c r="GE2241"/>
      <c r="GF2241"/>
      <c r="GG2241"/>
      <c r="GH2241"/>
    </row>
    <row r="2242" spans="187:190" s="1" customFormat="1" ht="18" customHeight="1" x14ac:dyDescent="0.2">
      <c r="GE2242"/>
      <c r="GF2242"/>
      <c r="GG2242"/>
      <c r="GH2242"/>
    </row>
    <row r="2243" spans="187:190" s="1" customFormat="1" ht="18" customHeight="1" x14ac:dyDescent="0.2">
      <c r="GE2243"/>
      <c r="GF2243"/>
      <c r="GG2243"/>
      <c r="GH2243"/>
    </row>
    <row r="2244" spans="187:190" s="1" customFormat="1" ht="18" customHeight="1" x14ac:dyDescent="0.2">
      <c r="GE2244"/>
      <c r="GF2244"/>
      <c r="GG2244"/>
      <c r="GH2244"/>
    </row>
    <row r="2245" spans="187:190" s="1" customFormat="1" ht="18" customHeight="1" x14ac:dyDescent="0.2">
      <c r="GE2245"/>
      <c r="GF2245"/>
      <c r="GG2245"/>
      <c r="GH2245"/>
    </row>
    <row r="2246" spans="187:190" s="1" customFormat="1" ht="18" customHeight="1" x14ac:dyDescent="0.2">
      <c r="GE2246"/>
      <c r="GF2246"/>
      <c r="GG2246"/>
      <c r="GH2246"/>
    </row>
    <row r="2247" spans="187:190" s="1" customFormat="1" ht="18" customHeight="1" x14ac:dyDescent="0.2">
      <c r="GE2247"/>
      <c r="GF2247"/>
      <c r="GG2247"/>
      <c r="GH2247"/>
    </row>
    <row r="2248" spans="187:190" s="1" customFormat="1" ht="18" customHeight="1" x14ac:dyDescent="0.2">
      <c r="GE2248"/>
      <c r="GF2248"/>
      <c r="GG2248"/>
      <c r="GH2248"/>
    </row>
    <row r="2249" spans="187:190" s="1" customFormat="1" ht="18" customHeight="1" x14ac:dyDescent="0.2">
      <c r="GE2249"/>
      <c r="GF2249"/>
      <c r="GG2249"/>
      <c r="GH2249"/>
    </row>
    <row r="2250" spans="187:190" s="1" customFormat="1" ht="18" customHeight="1" x14ac:dyDescent="0.2">
      <c r="GE2250"/>
      <c r="GF2250"/>
      <c r="GG2250"/>
      <c r="GH2250"/>
    </row>
    <row r="2251" spans="187:190" s="1" customFormat="1" ht="18" customHeight="1" x14ac:dyDescent="0.2">
      <c r="GE2251"/>
      <c r="GF2251"/>
      <c r="GG2251"/>
      <c r="GH2251"/>
    </row>
    <row r="2252" spans="187:190" s="1" customFormat="1" ht="18" customHeight="1" x14ac:dyDescent="0.2">
      <c r="GE2252"/>
      <c r="GF2252"/>
      <c r="GG2252"/>
      <c r="GH2252"/>
    </row>
    <row r="2253" spans="187:190" s="1" customFormat="1" ht="18" customHeight="1" x14ac:dyDescent="0.2">
      <c r="GE2253"/>
      <c r="GF2253"/>
      <c r="GG2253"/>
      <c r="GH2253"/>
    </row>
    <row r="2254" spans="187:190" s="1" customFormat="1" ht="18" customHeight="1" x14ac:dyDescent="0.2">
      <c r="GE2254"/>
      <c r="GF2254"/>
      <c r="GG2254"/>
      <c r="GH2254"/>
    </row>
    <row r="2255" spans="187:190" s="1" customFormat="1" ht="18" customHeight="1" x14ac:dyDescent="0.2">
      <c r="GE2255"/>
      <c r="GF2255"/>
      <c r="GG2255"/>
      <c r="GH2255"/>
    </row>
    <row r="2256" spans="187:190" s="1" customFormat="1" ht="18" customHeight="1" x14ac:dyDescent="0.2">
      <c r="GE2256"/>
      <c r="GF2256"/>
      <c r="GG2256"/>
      <c r="GH2256"/>
    </row>
    <row r="2257" spans="187:190" s="1" customFormat="1" ht="18" customHeight="1" x14ac:dyDescent="0.2">
      <c r="GE2257"/>
      <c r="GF2257"/>
      <c r="GG2257"/>
      <c r="GH2257"/>
    </row>
    <row r="2258" spans="187:190" s="1" customFormat="1" ht="18" customHeight="1" x14ac:dyDescent="0.2">
      <c r="GE2258"/>
      <c r="GF2258"/>
      <c r="GG2258"/>
      <c r="GH2258"/>
    </row>
    <row r="2259" spans="187:190" s="1" customFormat="1" ht="18" customHeight="1" x14ac:dyDescent="0.2">
      <c r="GE2259"/>
      <c r="GF2259"/>
      <c r="GG2259"/>
      <c r="GH2259"/>
    </row>
    <row r="2260" spans="187:190" s="1" customFormat="1" ht="18" customHeight="1" x14ac:dyDescent="0.2">
      <c r="GE2260"/>
      <c r="GF2260"/>
      <c r="GG2260"/>
      <c r="GH2260"/>
    </row>
    <row r="2261" spans="187:190" s="1" customFormat="1" ht="18" customHeight="1" x14ac:dyDescent="0.2">
      <c r="GE2261"/>
      <c r="GF2261"/>
      <c r="GG2261"/>
      <c r="GH2261"/>
    </row>
    <row r="2262" spans="187:190" s="1" customFormat="1" ht="18" customHeight="1" x14ac:dyDescent="0.2">
      <c r="GE2262"/>
      <c r="GF2262"/>
      <c r="GG2262"/>
      <c r="GH2262"/>
    </row>
    <row r="2263" spans="187:190" s="1" customFormat="1" ht="18" customHeight="1" x14ac:dyDescent="0.2">
      <c r="GE2263"/>
      <c r="GF2263"/>
      <c r="GG2263"/>
      <c r="GH2263"/>
    </row>
    <row r="2264" spans="187:190" s="1" customFormat="1" ht="18" customHeight="1" x14ac:dyDescent="0.2">
      <c r="GE2264"/>
      <c r="GF2264"/>
      <c r="GG2264"/>
      <c r="GH2264"/>
    </row>
    <row r="2265" spans="187:190" s="1" customFormat="1" ht="18" customHeight="1" x14ac:dyDescent="0.2">
      <c r="GE2265"/>
      <c r="GF2265"/>
      <c r="GG2265"/>
      <c r="GH2265"/>
    </row>
    <row r="2266" spans="187:190" s="1" customFormat="1" ht="18" customHeight="1" x14ac:dyDescent="0.2">
      <c r="GE2266"/>
      <c r="GF2266"/>
      <c r="GG2266"/>
      <c r="GH2266"/>
    </row>
    <row r="2267" spans="187:190" s="1" customFormat="1" ht="18" customHeight="1" x14ac:dyDescent="0.2">
      <c r="GE2267"/>
      <c r="GF2267"/>
      <c r="GG2267"/>
      <c r="GH2267"/>
    </row>
    <row r="2268" spans="187:190" s="1" customFormat="1" ht="18" customHeight="1" x14ac:dyDescent="0.2">
      <c r="GE2268"/>
      <c r="GF2268"/>
      <c r="GG2268"/>
      <c r="GH2268"/>
    </row>
    <row r="2269" spans="187:190" s="1" customFormat="1" ht="18" customHeight="1" x14ac:dyDescent="0.2">
      <c r="GE2269"/>
      <c r="GF2269"/>
      <c r="GG2269"/>
      <c r="GH2269"/>
    </row>
    <row r="2270" spans="187:190" s="1" customFormat="1" ht="18" customHeight="1" x14ac:dyDescent="0.2">
      <c r="GE2270"/>
      <c r="GF2270"/>
      <c r="GG2270"/>
      <c r="GH2270"/>
    </row>
    <row r="2271" spans="187:190" s="1" customFormat="1" ht="18" customHeight="1" x14ac:dyDescent="0.2">
      <c r="GE2271"/>
      <c r="GF2271"/>
      <c r="GG2271"/>
      <c r="GH2271"/>
    </row>
    <row r="2272" spans="187:190" s="1" customFormat="1" ht="18" customHeight="1" x14ac:dyDescent="0.2">
      <c r="GE2272"/>
      <c r="GF2272"/>
      <c r="GG2272"/>
      <c r="GH2272"/>
    </row>
    <row r="2273" spans="187:190" s="1" customFormat="1" ht="18" customHeight="1" x14ac:dyDescent="0.2">
      <c r="GE2273"/>
      <c r="GF2273"/>
      <c r="GG2273"/>
      <c r="GH2273"/>
    </row>
    <row r="2274" spans="187:190" s="1" customFormat="1" ht="18" customHeight="1" x14ac:dyDescent="0.2">
      <c r="GE2274"/>
      <c r="GF2274"/>
      <c r="GG2274"/>
      <c r="GH2274"/>
    </row>
    <row r="2275" spans="187:190" s="1" customFormat="1" ht="18" customHeight="1" x14ac:dyDescent="0.2">
      <c r="GE2275"/>
      <c r="GF2275"/>
      <c r="GG2275"/>
      <c r="GH2275"/>
    </row>
    <row r="2276" spans="187:190" s="1" customFormat="1" ht="18" customHeight="1" x14ac:dyDescent="0.2">
      <c r="GE2276"/>
      <c r="GF2276"/>
      <c r="GG2276"/>
      <c r="GH2276"/>
    </row>
    <row r="2277" spans="187:190" s="1" customFormat="1" ht="18" customHeight="1" x14ac:dyDescent="0.2">
      <c r="GE2277"/>
      <c r="GF2277"/>
      <c r="GG2277"/>
      <c r="GH2277"/>
    </row>
    <row r="2278" spans="187:190" s="1" customFormat="1" ht="18" customHeight="1" x14ac:dyDescent="0.2">
      <c r="GE2278"/>
      <c r="GF2278"/>
      <c r="GG2278"/>
      <c r="GH2278"/>
    </row>
    <row r="2279" spans="187:190" s="1" customFormat="1" ht="18" customHeight="1" x14ac:dyDescent="0.2">
      <c r="GE2279"/>
      <c r="GF2279"/>
      <c r="GG2279"/>
      <c r="GH2279"/>
    </row>
    <row r="2280" spans="187:190" s="1" customFormat="1" ht="18" customHeight="1" x14ac:dyDescent="0.2">
      <c r="GE2280"/>
      <c r="GF2280"/>
      <c r="GG2280"/>
      <c r="GH2280"/>
    </row>
    <row r="2281" spans="187:190" s="1" customFormat="1" ht="18" customHeight="1" x14ac:dyDescent="0.2">
      <c r="GE2281"/>
      <c r="GF2281"/>
      <c r="GG2281"/>
      <c r="GH2281"/>
    </row>
    <row r="2282" spans="187:190" s="1" customFormat="1" ht="18" customHeight="1" x14ac:dyDescent="0.2">
      <c r="GE2282"/>
      <c r="GF2282"/>
      <c r="GG2282"/>
      <c r="GH2282"/>
    </row>
    <row r="2283" spans="187:190" s="1" customFormat="1" ht="18" customHeight="1" x14ac:dyDescent="0.2">
      <c r="GE2283"/>
      <c r="GF2283"/>
      <c r="GG2283"/>
      <c r="GH2283"/>
    </row>
    <row r="2284" spans="187:190" s="1" customFormat="1" ht="18" customHeight="1" x14ac:dyDescent="0.2">
      <c r="GE2284"/>
      <c r="GF2284"/>
      <c r="GG2284"/>
      <c r="GH2284"/>
    </row>
    <row r="2285" spans="187:190" s="1" customFormat="1" ht="18" customHeight="1" x14ac:dyDescent="0.2">
      <c r="GE2285"/>
      <c r="GF2285"/>
      <c r="GG2285"/>
      <c r="GH2285"/>
    </row>
    <row r="2286" spans="187:190" s="1" customFormat="1" ht="18" customHeight="1" x14ac:dyDescent="0.2">
      <c r="GE2286"/>
      <c r="GF2286"/>
      <c r="GG2286"/>
      <c r="GH2286"/>
    </row>
    <row r="2287" spans="187:190" s="1" customFormat="1" ht="18" customHeight="1" x14ac:dyDescent="0.2">
      <c r="GE2287"/>
      <c r="GF2287"/>
      <c r="GG2287"/>
      <c r="GH2287"/>
    </row>
    <row r="2288" spans="187:190" s="1" customFormat="1" ht="18" customHeight="1" x14ac:dyDescent="0.2">
      <c r="GE2288"/>
      <c r="GF2288"/>
      <c r="GG2288"/>
      <c r="GH2288"/>
    </row>
    <row r="2289" spans="187:190" s="1" customFormat="1" ht="18" customHeight="1" x14ac:dyDescent="0.2">
      <c r="GE2289"/>
      <c r="GF2289"/>
      <c r="GG2289"/>
      <c r="GH2289"/>
    </row>
    <row r="2290" spans="187:190" s="1" customFormat="1" ht="18" customHeight="1" x14ac:dyDescent="0.2">
      <c r="GE2290"/>
      <c r="GF2290"/>
      <c r="GG2290"/>
      <c r="GH2290"/>
    </row>
    <row r="2291" spans="187:190" s="1" customFormat="1" ht="18" customHeight="1" x14ac:dyDescent="0.2">
      <c r="GE2291"/>
      <c r="GF2291"/>
      <c r="GG2291"/>
      <c r="GH2291"/>
    </row>
    <row r="2292" spans="187:190" s="1" customFormat="1" ht="18" customHeight="1" x14ac:dyDescent="0.2">
      <c r="GE2292"/>
      <c r="GF2292"/>
      <c r="GG2292"/>
      <c r="GH2292"/>
    </row>
    <row r="2293" spans="187:190" s="1" customFormat="1" ht="18" customHeight="1" x14ac:dyDescent="0.2">
      <c r="GE2293"/>
      <c r="GF2293"/>
      <c r="GG2293"/>
      <c r="GH2293"/>
    </row>
    <row r="2294" spans="187:190" s="1" customFormat="1" ht="18" customHeight="1" x14ac:dyDescent="0.2">
      <c r="GE2294"/>
      <c r="GF2294"/>
      <c r="GG2294"/>
      <c r="GH2294"/>
    </row>
    <row r="2295" spans="187:190" s="1" customFormat="1" ht="18" customHeight="1" x14ac:dyDescent="0.2">
      <c r="GE2295"/>
      <c r="GF2295"/>
      <c r="GG2295"/>
      <c r="GH2295"/>
    </row>
    <row r="2296" spans="187:190" s="1" customFormat="1" ht="18" customHeight="1" x14ac:dyDescent="0.2">
      <c r="GE2296"/>
      <c r="GF2296"/>
      <c r="GG2296"/>
      <c r="GH2296"/>
    </row>
    <row r="2297" spans="187:190" s="1" customFormat="1" ht="18" customHeight="1" x14ac:dyDescent="0.2">
      <c r="GE2297"/>
      <c r="GF2297"/>
      <c r="GG2297"/>
      <c r="GH2297"/>
    </row>
    <row r="2298" spans="187:190" s="1" customFormat="1" ht="18" customHeight="1" x14ac:dyDescent="0.2">
      <c r="GE2298"/>
      <c r="GF2298"/>
      <c r="GG2298"/>
      <c r="GH2298"/>
    </row>
    <row r="2299" spans="187:190" s="1" customFormat="1" ht="18" customHeight="1" x14ac:dyDescent="0.2">
      <c r="GE2299"/>
      <c r="GF2299"/>
      <c r="GG2299"/>
      <c r="GH2299"/>
    </row>
    <row r="2300" spans="187:190" s="1" customFormat="1" ht="18" customHeight="1" x14ac:dyDescent="0.2">
      <c r="GE2300"/>
      <c r="GF2300"/>
      <c r="GG2300"/>
      <c r="GH2300"/>
    </row>
    <row r="2301" spans="187:190" s="1" customFormat="1" ht="18" customHeight="1" x14ac:dyDescent="0.2">
      <c r="GE2301"/>
      <c r="GF2301"/>
      <c r="GG2301"/>
      <c r="GH2301"/>
    </row>
    <row r="2302" spans="187:190" s="1" customFormat="1" ht="18" customHeight="1" x14ac:dyDescent="0.2">
      <c r="GE2302"/>
      <c r="GF2302"/>
      <c r="GG2302"/>
      <c r="GH2302"/>
    </row>
    <row r="2303" spans="187:190" s="1" customFormat="1" ht="18" customHeight="1" x14ac:dyDescent="0.2">
      <c r="GE2303"/>
      <c r="GF2303"/>
      <c r="GG2303"/>
      <c r="GH2303"/>
    </row>
    <row r="2304" spans="187:190" s="1" customFormat="1" ht="18" customHeight="1" x14ac:dyDescent="0.2">
      <c r="GE2304"/>
      <c r="GF2304"/>
      <c r="GG2304"/>
      <c r="GH2304"/>
    </row>
    <row r="2305" spans="187:190" s="1" customFormat="1" ht="18" customHeight="1" x14ac:dyDescent="0.2">
      <c r="GE2305"/>
      <c r="GF2305"/>
      <c r="GG2305"/>
      <c r="GH2305"/>
    </row>
    <row r="2306" spans="187:190" s="1" customFormat="1" ht="18" customHeight="1" x14ac:dyDescent="0.2">
      <c r="GE2306"/>
      <c r="GF2306"/>
      <c r="GG2306"/>
      <c r="GH2306"/>
    </row>
    <row r="2307" spans="187:190" s="1" customFormat="1" ht="18" customHeight="1" x14ac:dyDescent="0.2">
      <c r="GE2307"/>
      <c r="GF2307"/>
      <c r="GG2307"/>
      <c r="GH2307"/>
    </row>
    <row r="2308" spans="187:190" s="1" customFormat="1" ht="18" customHeight="1" x14ac:dyDescent="0.2">
      <c r="GE2308"/>
      <c r="GF2308"/>
      <c r="GG2308"/>
      <c r="GH2308"/>
    </row>
    <row r="2309" spans="187:190" s="1" customFormat="1" ht="18" customHeight="1" x14ac:dyDescent="0.2">
      <c r="GE2309"/>
      <c r="GF2309"/>
      <c r="GG2309"/>
      <c r="GH2309"/>
    </row>
    <row r="2310" spans="187:190" s="1" customFormat="1" ht="18" customHeight="1" x14ac:dyDescent="0.2">
      <c r="GE2310"/>
      <c r="GF2310"/>
      <c r="GG2310"/>
      <c r="GH2310"/>
    </row>
    <row r="2311" spans="187:190" s="1" customFormat="1" ht="18" customHeight="1" x14ac:dyDescent="0.2">
      <c r="GE2311"/>
      <c r="GF2311"/>
      <c r="GG2311"/>
      <c r="GH2311"/>
    </row>
    <row r="2312" spans="187:190" s="1" customFormat="1" ht="18" customHeight="1" x14ac:dyDescent="0.2">
      <c r="GE2312"/>
      <c r="GF2312"/>
      <c r="GG2312"/>
      <c r="GH2312"/>
    </row>
    <row r="2313" spans="187:190" s="1" customFormat="1" ht="18" customHeight="1" x14ac:dyDescent="0.2">
      <c r="GE2313"/>
      <c r="GF2313"/>
      <c r="GG2313"/>
      <c r="GH2313"/>
    </row>
    <row r="2314" spans="187:190" s="1" customFormat="1" ht="18" customHeight="1" x14ac:dyDescent="0.2">
      <c r="GE2314"/>
      <c r="GF2314"/>
      <c r="GG2314"/>
      <c r="GH2314"/>
    </row>
    <row r="2315" spans="187:190" s="1" customFormat="1" ht="18" customHeight="1" x14ac:dyDescent="0.2">
      <c r="GE2315"/>
      <c r="GF2315"/>
      <c r="GG2315"/>
      <c r="GH2315"/>
    </row>
    <row r="2316" spans="187:190" s="1" customFormat="1" ht="18" customHeight="1" x14ac:dyDescent="0.2">
      <c r="GE2316"/>
      <c r="GF2316"/>
      <c r="GG2316"/>
      <c r="GH2316"/>
    </row>
    <row r="2317" spans="187:190" s="1" customFormat="1" ht="18" customHeight="1" x14ac:dyDescent="0.2">
      <c r="GE2317"/>
      <c r="GF2317"/>
      <c r="GG2317"/>
      <c r="GH2317"/>
    </row>
    <row r="2318" spans="187:190" s="1" customFormat="1" ht="18" customHeight="1" x14ac:dyDescent="0.2">
      <c r="GE2318"/>
      <c r="GF2318"/>
      <c r="GG2318"/>
      <c r="GH2318"/>
    </row>
    <row r="2319" spans="187:190" s="1" customFormat="1" ht="18" customHeight="1" x14ac:dyDescent="0.2">
      <c r="GE2319"/>
      <c r="GF2319"/>
      <c r="GG2319"/>
      <c r="GH2319"/>
    </row>
    <row r="2320" spans="187:190" s="1" customFormat="1" ht="18" customHeight="1" x14ac:dyDescent="0.2">
      <c r="GE2320"/>
      <c r="GF2320"/>
      <c r="GG2320"/>
      <c r="GH2320"/>
    </row>
    <row r="2321" spans="187:190" s="1" customFormat="1" ht="18" customHeight="1" x14ac:dyDescent="0.2">
      <c r="GE2321"/>
      <c r="GF2321"/>
      <c r="GG2321"/>
      <c r="GH2321"/>
    </row>
    <row r="2322" spans="187:190" s="1" customFormat="1" ht="18" customHeight="1" x14ac:dyDescent="0.2">
      <c r="GE2322"/>
      <c r="GF2322"/>
      <c r="GG2322"/>
      <c r="GH2322"/>
    </row>
    <row r="2323" spans="187:190" s="1" customFormat="1" ht="18" customHeight="1" x14ac:dyDescent="0.2">
      <c r="GE2323"/>
      <c r="GF2323"/>
      <c r="GG2323"/>
      <c r="GH2323"/>
    </row>
    <row r="2324" spans="187:190" s="1" customFormat="1" ht="18" customHeight="1" x14ac:dyDescent="0.2">
      <c r="GE2324"/>
      <c r="GF2324"/>
      <c r="GG2324"/>
      <c r="GH2324"/>
    </row>
    <row r="2325" spans="187:190" s="1" customFormat="1" ht="18" customHeight="1" x14ac:dyDescent="0.2">
      <c r="GE2325"/>
      <c r="GF2325"/>
      <c r="GG2325"/>
      <c r="GH2325"/>
    </row>
    <row r="2326" spans="187:190" s="1" customFormat="1" ht="18" customHeight="1" x14ac:dyDescent="0.2">
      <c r="GE2326"/>
      <c r="GF2326"/>
      <c r="GG2326"/>
      <c r="GH2326"/>
    </row>
    <row r="2327" spans="187:190" s="1" customFormat="1" ht="18" customHeight="1" x14ac:dyDescent="0.2">
      <c r="GE2327"/>
      <c r="GF2327"/>
      <c r="GG2327"/>
      <c r="GH2327"/>
    </row>
    <row r="2328" spans="187:190" s="1" customFormat="1" ht="18" customHeight="1" x14ac:dyDescent="0.2">
      <c r="GE2328"/>
      <c r="GF2328"/>
      <c r="GG2328"/>
      <c r="GH2328"/>
    </row>
    <row r="2329" spans="187:190" s="1" customFormat="1" ht="18" customHeight="1" x14ac:dyDescent="0.2">
      <c r="GE2329"/>
      <c r="GF2329"/>
      <c r="GG2329"/>
      <c r="GH2329"/>
    </row>
    <row r="2330" spans="187:190" s="1" customFormat="1" ht="18" customHeight="1" x14ac:dyDescent="0.2">
      <c r="GE2330"/>
      <c r="GF2330"/>
      <c r="GG2330"/>
      <c r="GH2330"/>
    </row>
    <row r="2331" spans="187:190" s="1" customFormat="1" ht="18" customHeight="1" x14ac:dyDescent="0.2">
      <c r="GE2331"/>
      <c r="GF2331"/>
      <c r="GG2331"/>
      <c r="GH2331"/>
    </row>
    <row r="2332" spans="187:190" s="1" customFormat="1" ht="18" customHeight="1" x14ac:dyDescent="0.2">
      <c r="GE2332"/>
      <c r="GF2332"/>
      <c r="GG2332"/>
      <c r="GH2332"/>
    </row>
    <row r="2333" spans="187:190" s="1" customFormat="1" ht="18" customHeight="1" x14ac:dyDescent="0.2">
      <c r="GE2333"/>
      <c r="GF2333"/>
      <c r="GG2333"/>
      <c r="GH2333"/>
    </row>
    <row r="2334" spans="187:190" s="1" customFormat="1" ht="18" customHeight="1" x14ac:dyDescent="0.2">
      <c r="GE2334"/>
      <c r="GF2334"/>
      <c r="GG2334"/>
      <c r="GH2334"/>
    </row>
    <row r="2335" spans="187:190" s="1" customFormat="1" ht="18" customHeight="1" x14ac:dyDescent="0.2">
      <c r="GE2335"/>
      <c r="GF2335"/>
      <c r="GG2335"/>
      <c r="GH2335"/>
    </row>
    <row r="2336" spans="187:190" s="1" customFormat="1" ht="18" customHeight="1" x14ac:dyDescent="0.2">
      <c r="GE2336"/>
      <c r="GF2336"/>
      <c r="GG2336"/>
      <c r="GH2336"/>
    </row>
    <row r="2337" spans="187:190" s="1" customFormat="1" ht="18" customHeight="1" x14ac:dyDescent="0.2">
      <c r="GE2337"/>
      <c r="GF2337"/>
      <c r="GG2337"/>
      <c r="GH2337"/>
    </row>
    <row r="2338" spans="187:190" s="1" customFormat="1" ht="18" customHeight="1" x14ac:dyDescent="0.2">
      <c r="GE2338"/>
      <c r="GF2338"/>
      <c r="GG2338"/>
      <c r="GH2338"/>
    </row>
    <row r="2339" spans="187:190" s="1" customFormat="1" ht="18" customHeight="1" x14ac:dyDescent="0.2">
      <c r="GE2339"/>
      <c r="GF2339"/>
      <c r="GG2339"/>
      <c r="GH2339"/>
    </row>
    <row r="2340" spans="187:190" s="1" customFormat="1" ht="18" customHeight="1" x14ac:dyDescent="0.2">
      <c r="GE2340"/>
      <c r="GF2340"/>
      <c r="GG2340"/>
      <c r="GH2340"/>
    </row>
    <row r="2341" spans="187:190" s="1" customFormat="1" ht="18" customHeight="1" x14ac:dyDescent="0.2">
      <c r="GE2341"/>
      <c r="GF2341"/>
      <c r="GG2341"/>
      <c r="GH2341"/>
    </row>
    <row r="2342" spans="187:190" s="1" customFormat="1" ht="18" customHeight="1" x14ac:dyDescent="0.2">
      <c r="GE2342"/>
      <c r="GF2342"/>
      <c r="GG2342"/>
      <c r="GH2342"/>
    </row>
    <row r="2343" spans="187:190" s="1" customFormat="1" ht="18" customHeight="1" x14ac:dyDescent="0.2">
      <c r="GE2343"/>
      <c r="GF2343"/>
      <c r="GG2343"/>
      <c r="GH2343"/>
    </row>
    <row r="2344" spans="187:190" s="1" customFormat="1" ht="18" customHeight="1" x14ac:dyDescent="0.2">
      <c r="GE2344"/>
      <c r="GF2344"/>
      <c r="GG2344"/>
      <c r="GH2344"/>
    </row>
    <row r="2345" spans="187:190" s="1" customFormat="1" ht="18" customHeight="1" x14ac:dyDescent="0.2">
      <c r="GE2345"/>
      <c r="GF2345"/>
      <c r="GG2345"/>
      <c r="GH2345"/>
    </row>
    <row r="2346" spans="187:190" s="1" customFormat="1" ht="18" customHeight="1" x14ac:dyDescent="0.2">
      <c r="GE2346"/>
      <c r="GF2346"/>
      <c r="GG2346"/>
      <c r="GH2346"/>
    </row>
    <row r="2347" spans="187:190" s="1" customFormat="1" ht="18" customHeight="1" x14ac:dyDescent="0.2">
      <c r="GE2347"/>
      <c r="GF2347"/>
      <c r="GG2347"/>
      <c r="GH2347"/>
    </row>
    <row r="2348" spans="187:190" s="1" customFormat="1" ht="18" customHeight="1" x14ac:dyDescent="0.2">
      <c r="GE2348"/>
      <c r="GF2348"/>
      <c r="GG2348"/>
      <c r="GH2348"/>
    </row>
    <row r="2349" spans="187:190" s="1" customFormat="1" ht="18" customHeight="1" x14ac:dyDescent="0.2">
      <c r="GE2349"/>
      <c r="GF2349"/>
      <c r="GG2349"/>
      <c r="GH2349"/>
    </row>
    <row r="2350" spans="187:190" s="1" customFormat="1" ht="18" customHeight="1" x14ac:dyDescent="0.2">
      <c r="GE2350"/>
      <c r="GF2350"/>
      <c r="GG2350"/>
      <c r="GH2350"/>
    </row>
    <row r="2351" spans="187:190" s="1" customFormat="1" ht="18" customHeight="1" x14ac:dyDescent="0.2">
      <c r="GE2351"/>
      <c r="GF2351"/>
      <c r="GG2351"/>
      <c r="GH2351"/>
    </row>
    <row r="2352" spans="187:190" s="1" customFormat="1" ht="18" customHeight="1" x14ac:dyDescent="0.2">
      <c r="GE2352"/>
      <c r="GF2352"/>
      <c r="GG2352"/>
      <c r="GH2352"/>
    </row>
    <row r="2353" spans="187:190" s="1" customFormat="1" ht="18" customHeight="1" x14ac:dyDescent="0.2">
      <c r="GE2353"/>
      <c r="GF2353"/>
      <c r="GG2353"/>
      <c r="GH2353"/>
    </row>
    <row r="2354" spans="187:190" s="1" customFormat="1" ht="18" customHeight="1" x14ac:dyDescent="0.2">
      <c r="GE2354"/>
      <c r="GF2354"/>
      <c r="GG2354"/>
      <c r="GH2354"/>
    </row>
    <row r="2355" spans="187:190" s="1" customFormat="1" ht="18" customHeight="1" x14ac:dyDescent="0.2">
      <c r="GE2355"/>
      <c r="GF2355"/>
      <c r="GG2355"/>
      <c r="GH2355"/>
    </row>
    <row r="2356" spans="187:190" s="1" customFormat="1" ht="18" customHeight="1" x14ac:dyDescent="0.2">
      <c r="GE2356"/>
      <c r="GF2356"/>
      <c r="GG2356"/>
      <c r="GH2356"/>
    </row>
    <row r="2357" spans="187:190" s="1" customFormat="1" ht="18" customHeight="1" x14ac:dyDescent="0.2">
      <c r="GE2357"/>
      <c r="GF2357"/>
      <c r="GG2357"/>
      <c r="GH2357"/>
    </row>
    <row r="2358" spans="187:190" s="1" customFormat="1" ht="18" customHeight="1" x14ac:dyDescent="0.2">
      <c r="GE2358"/>
      <c r="GF2358"/>
      <c r="GG2358"/>
      <c r="GH2358"/>
    </row>
    <row r="2359" spans="187:190" s="1" customFormat="1" ht="18" customHeight="1" x14ac:dyDescent="0.2">
      <c r="GE2359"/>
      <c r="GF2359"/>
      <c r="GG2359"/>
      <c r="GH2359"/>
    </row>
    <row r="2360" spans="187:190" s="1" customFormat="1" ht="18" customHeight="1" x14ac:dyDescent="0.2">
      <c r="GE2360"/>
      <c r="GF2360"/>
      <c r="GG2360"/>
      <c r="GH2360"/>
    </row>
    <row r="2361" spans="187:190" s="1" customFormat="1" ht="18" customHeight="1" x14ac:dyDescent="0.2">
      <c r="GE2361"/>
      <c r="GF2361"/>
      <c r="GG2361"/>
      <c r="GH2361"/>
    </row>
    <row r="2362" spans="187:190" s="1" customFormat="1" ht="18" customHeight="1" x14ac:dyDescent="0.2">
      <c r="GE2362"/>
      <c r="GF2362"/>
      <c r="GG2362"/>
      <c r="GH2362"/>
    </row>
    <row r="2363" spans="187:190" s="1" customFormat="1" ht="18" customHeight="1" x14ac:dyDescent="0.2">
      <c r="GE2363"/>
      <c r="GF2363"/>
      <c r="GG2363"/>
      <c r="GH2363"/>
    </row>
    <row r="2364" spans="187:190" s="1" customFormat="1" ht="18" customHeight="1" x14ac:dyDescent="0.2">
      <c r="GE2364"/>
      <c r="GF2364"/>
      <c r="GG2364"/>
      <c r="GH2364"/>
    </row>
    <row r="2365" spans="187:190" s="1" customFormat="1" ht="18" customHeight="1" x14ac:dyDescent="0.2">
      <c r="GE2365"/>
      <c r="GF2365"/>
      <c r="GG2365"/>
      <c r="GH2365"/>
    </row>
    <row r="2366" spans="187:190" s="1" customFormat="1" ht="18" customHeight="1" x14ac:dyDescent="0.2">
      <c r="GE2366"/>
      <c r="GF2366"/>
      <c r="GG2366"/>
      <c r="GH2366"/>
    </row>
    <row r="2367" spans="187:190" s="1" customFormat="1" ht="18" customHeight="1" x14ac:dyDescent="0.2">
      <c r="GE2367"/>
      <c r="GF2367"/>
      <c r="GG2367"/>
      <c r="GH2367"/>
    </row>
    <row r="2368" spans="187:190" s="1" customFormat="1" ht="18" customHeight="1" x14ac:dyDescent="0.2">
      <c r="GE2368"/>
      <c r="GF2368"/>
      <c r="GG2368"/>
      <c r="GH2368"/>
    </row>
    <row r="2369" spans="187:190" s="1" customFormat="1" ht="18" customHeight="1" x14ac:dyDescent="0.2">
      <c r="GE2369"/>
      <c r="GF2369"/>
      <c r="GG2369"/>
      <c r="GH2369"/>
    </row>
    <row r="2370" spans="187:190" s="1" customFormat="1" ht="18" customHeight="1" x14ac:dyDescent="0.2">
      <c r="GE2370"/>
      <c r="GF2370"/>
      <c r="GG2370"/>
      <c r="GH2370"/>
    </row>
    <row r="2371" spans="187:190" s="1" customFormat="1" ht="18" customHeight="1" x14ac:dyDescent="0.2">
      <c r="GE2371"/>
      <c r="GF2371"/>
      <c r="GG2371"/>
      <c r="GH2371"/>
    </row>
    <row r="2372" spans="187:190" s="1" customFormat="1" ht="18" customHeight="1" x14ac:dyDescent="0.2">
      <c r="GE2372"/>
      <c r="GF2372"/>
      <c r="GG2372"/>
      <c r="GH2372"/>
    </row>
    <row r="2373" spans="187:190" s="1" customFormat="1" ht="18" customHeight="1" x14ac:dyDescent="0.2">
      <c r="GE2373"/>
      <c r="GF2373"/>
      <c r="GG2373"/>
      <c r="GH2373"/>
    </row>
    <row r="2374" spans="187:190" s="1" customFormat="1" ht="18" customHeight="1" x14ac:dyDescent="0.2">
      <c r="GE2374"/>
      <c r="GF2374"/>
      <c r="GG2374"/>
      <c r="GH2374"/>
    </row>
    <row r="2375" spans="187:190" s="1" customFormat="1" ht="18" customHeight="1" x14ac:dyDescent="0.2">
      <c r="GE2375"/>
      <c r="GF2375"/>
      <c r="GG2375"/>
      <c r="GH2375"/>
    </row>
    <row r="2376" spans="187:190" s="1" customFormat="1" ht="18" customHeight="1" x14ac:dyDescent="0.2">
      <c r="GE2376"/>
      <c r="GF2376"/>
      <c r="GG2376"/>
      <c r="GH2376"/>
    </row>
    <row r="2377" spans="187:190" s="1" customFormat="1" ht="18" customHeight="1" x14ac:dyDescent="0.2">
      <c r="GE2377"/>
      <c r="GF2377"/>
      <c r="GG2377"/>
      <c r="GH2377"/>
    </row>
    <row r="2378" spans="187:190" s="1" customFormat="1" ht="18" customHeight="1" x14ac:dyDescent="0.2">
      <c r="GE2378"/>
      <c r="GF2378"/>
      <c r="GG2378"/>
      <c r="GH2378"/>
    </row>
    <row r="2379" spans="187:190" s="1" customFormat="1" ht="18" customHeight="1" x14ac:dyDescent="0.2">
      <c r="GE2379"/>
      <c r="GF2379"/>
      <c r="GG2379"/>
      <c r="GH2379"/>
    </row>
    <row r="2380" spans="187:190" s="1" customFormat="1" ht="18" customHeight="1" x14ac:dyDescent="0.2">
      <c r="GE2380"/>
      <c r="GF2380"/>
      <c r="GG2380"/>
      <c r="GH2380"/>
    </row>
    <row r="2381" spans="187:190" s="1" customFormat="1" ht="18" customHeight="1" x14ac:dyDescent="0.2">
      <c r="GE2381"/>
      <c r="GF2381"/>
      <c r="GG2381"/>
      <c r="GH2381"/>
    </row>
    <row r="2382" spans="187:190" s="1" customFormat="1" ht="18" customHeight="1" x14ac:dyDescent="0.2">
      <c r="GE2382"/>
      <c r="GF2382"/>
      <c r="GG2382"/>
      <c r="GH2382"/>
    </row>
    <row r="2383" spans="187:190" s="1" customFormat="1" ht="18" customHeight="1" x14ac:dyDescent="0.2">
      <c r="GE2383"/>
      <c r="GF2383"/>
      <c r="GG2383"/>
      <c r="GH2383"/>
    </row>
    <row r="2384" spans="187:190" s="1" customFormat="1" ht="18" customHeight="1" x14ac:dyDescent="0.2">
      <c r="GE2384"/>
      <c r="GF2384"/>
      <c r="GG2384"/>
      <c r="GH2384"/>
    </row>
    <row r="2385" spans="187:190" s="1" customFormat="1" ht="18" customHeight="1" x14ac:dyDescent="0.2">
      <c r="GE2385"/>
      <c r="GF2385"/>
      <c r="GG2385"/>
      <c r="GH2385"/>
    </row>
    <row r="2386" spans="187:190" s="1" customFormat="1" ht="18" customHeight="1" x14ac:dyDescent="0.2">
      <c r="GE2386"/>
      <c r="GF2386"/>
      <c r="GG2386"/>
      <c r="GH2386"/>
    </row>
    <row r="2387" spans="187:190" s="1" customFormat="1" ht="18" customHeight="1" x14ac:dyDescent="0.2">
      <c r="GE2387"/>
      <c r="GF2387"/>
      <c r="GG2387"/>
      <c r="GH2387"/>
    </row>
    <row r="2388" spans="187:190" s="1" customFormat="1" ht="18" customHeight="1" x14ac:dyDescent="0.2">
      <c r="GE2388"/>
      <c r="GF2388"/>
      <c r="GG2388"/>
      <c r="GH2388"/>
    </row>
    <row r="2389" spans="187:190" s="1" customFormat="1" ht="18" customHeight="1" x14ac:dyDescent="0.2">
      <c r="GE2389"/>
      <c r="GF2389"/>
      <c r="GG2389"/>
      <c r="GH2389"/>
    </row>
    <row r="2390" spans="187:190" s="1" customFormat="1" ht="18" customHeight="1" x14ac:dyDescent="0.2">
      <c r="GE2390"/>
      <c r="GF2390"/>
      <c r="GG2390"/>
      <c r="GH2390"/>
    </row>
    <row r="2391" spans="187:190" s="1" customFormat="1" ht="18" customHeight="1" x14ac:dyDescent="0.2">
      <c r="GE2391"/>
      <c r="GF2391"/>
      <c r="GG2391"/>
      <c r="GH2391"/>
    </row>
    <row r="2392" spans="187:190" s="1" customFormat="1" ht="18" customHeight="1" x14ac:dyDescent="0.2">
      <c r="GE2392"/>
      <c r="GF2392"/>
      <c r="GG2392"/>
      <c r="GH2392"/>
    </row>
    <row r="2393" spans="187:190" s="1" customFormat="1" ht="18" customHeight="1" x14ac:dyDescent="0.2">
      <c r="GE2393"/>
      <c r="GF2393"/>
      <c r="GG2393"/>
      <c r="GH2393"/>
    </row>
    <row r="2394" spans="187:190" s="1" customFormat="1" ht="18" customHeight="1" x14ac:dyDescent="0.2">
      <c r="GE2394"/>
      <c r="GF2394"/>
      <c r="GG2394"/>
      <c r="GH2394"/>
    </row>
    <row r="2395" spans="187:190" s="1" customFormat="1" ht="18" customHeight="1" x14ac:dyDescent="0.2">
      <c r="GE2395"/>
      <c r="GF2395"/>
      <c r="GG2395"/>
      <c r="GH2395"/>
    </row>
    <row r="2396" spans="187:190" s="1" customFormat="1" ht="18" customHeight="1" x14ac:dyDescent="0.2">
      <c r="GE2396"/>
      <c r="GF2396"/>
      <c r="GG2396"/>
      <c r="GH2396"/>
    </row>
    <row r="2397" spans="187:190" s="1" customFormat="1" ht="18" customHeight="1" x14ac:dyDescent="0.2">
      <c r="GE2397"/>
      <c r="GF2397"/>
      <c r="GG2397"/>
      <c r="GH2397"/>
    </row>
    <row r="2398" spans="187:190" s="1" customFormat="1" ht="18" customHeight="1" x14ac:dyDescent="0.2">
      <c r="GE2398"/>
      <c r="GF2398"/>
      <c r="GG2398"/>
      <c r="GH2398"/>
    </row>
    <row r="2399" spans="187:190" s="1" customFormat="1" ht="18" customHeight="1" x14ac:dyDescent="0.2">
      <c r="GE2399"/>
      <c r="GF2399"/>
      <c r="GG2399"/>
      <c r="GH2399"/>
    </row>
    <row r="2400" spans="187:190" s="1" customFormat="1" ht="18" customHeight="1" x14ac:dyDescent="0.2">
      <c r="GE2400"/>
      <c r="GF2400"/>
      <c r="GG2400"/>
      <c r="GH2400"/>
    </row>
    <row r="2401" spans="187:190" s="1" customFormat="1" ht="18" customHeight="1" x14ac:dyDescent="0.2">
      <c r="GE2401"/>
      <c r="GF2401"/>
      <c r="GG2401"/>
      <c r="GH2401"/>
    </row>
    <row r="2402" spans="187:190" s="1" customFormat="1" ht="18" customHeight="1" x14ac:dyDescent="0.2">
      <c r="GE2402"/>
      <c r="GF2402"/>
      <c r="GG2402"/>
      <c r="GH2402"/>
    </row>
    <row r="2403" spans="187:190" s="1" customFormat="1" ht="18" customHeight="1" x14ac:dyDescent="0.2">
      <c r="GE2403"/>
      <c r="GF2403"/>
      <c r="GG2403"/>
      <c r="GH2403"/>
    </row>
    <row r="2404" spans="187:190" s="1" customFormat="1" ht="18" customHeight="1" x14ac:dyDescent="0.2">
      <c r="GE2404"/>
      <c r="GF2404"/>
      <c r="GG2404"/>
      <c r="GH2404"/>
    </row>
    <row r="2405" spans="187:190" s="1" customFormat="1" ht="18" customHeight="1" x14ac:dyDescent="0.2">
      <c r="GE2405"/>
      <c r="GF2405"/>
      <c r="GG2405"/>
      <c r="GH2405"/>
    </row>
    <row r="2406" spans="187:190" s="1" customFormat="1" ht="18" customHeight="1" x14ac:dyDescent="0.2">
      <c r="GE2406"/>
      <c r="GF2406"/>
      <c r="GG2406"/>
      <c r="GH2406"/>
    </row>
    <row r="2407" spans="187:190" s="1" customFormat="1" ht="18" customHeight="1" x14ac:dyDescent="0.2">
      <c r="GE2407"/>
      <c r="GF2407"/>
      <c r="GG2407"/>
      <c r="GH2407"/>
    </row>
    <row r="2408" spans="187:190" s="1" customFormat="1" ht="18" customHeight="1" x14ac:dyDescent="0.2">
      <c r="GE2408"/>
      <c r="GF2408"/>
      <c r="GG2408"/>
      <c r="GH2408"/>
    </row>
    <row r="2409" spans="187:190" s="1" customFormat="1" ht="18" customHeight="1" x14ac:dyDescent="0.2">
      <c r="GE2409"/>
      <c r="GF2409"/>
      <c r="GG2409"/>
      <c r="GH2409"/>
    </row>
    <row r="2410" spans="187:190" s="1" customFormat="1" ht="18" customHeight="1" x14ac:dyDescent="0.2">
      <c r="GE2410"/>
      <c r="GF2410"/>
      <c r="GG2410"/>
      <c r="GH2410"/>
    </row>
    <row r="2411" spans="187:190" s="1" customFormat="1" ht="18" customHeight="1" x14ac:dyDescent="0.2">
      <c r="GE2411"/>
      <c r="GF2411"/>
      <c r="GG2411"/>
      <c r="GH2411"/>
    </row>
    <row r="2412" spans="187:190" s="1" customFormat="1" ht="18" customHeight="1" x14ac:dyDescent="0.2">
      <c r="GE2412"/>
      <c r="GF2412"/>
      <c r="GG2412"/>
      <c r="GH2412"/>
    </row>
    <row r="2413" spans="187:190" s="1" customFormat="1" ht="18" customHeight="1" x14ac:dyDescent="0.2">
      <c r="GE2413"/>
      <c r="GF2413"/>
      <c r="GG2413"/>
      <c r="GH2413"/>
    </row>
    <row r="2414" spans="187:190" s="1" customFormat="1" ht="18" customHeight="1" x14ac:dyDescent="0.2">
      <c r="GE2414"/>
      <c r="GF2414"/>
      <c r="GG2414"/>
      <c r="GH2414"/>
    </row>
    <row r="2415" spans="187:190" s="1" customFormat="1" ht="18" customHeight="1" x14ac:dyDescent="0.2">
      <c r="GE2415"/>
      <c r="GF2415"/>
      <c r="GG2415"/>
      <c r="GH2415"/>
    </row>
    <row r="2416" spans="187:190" s="1" customFormat="1" ht="18" customHeight="1" x14ac:dyDescent="0.2">
      <c r="GE2416"/>
      <c r="GF2416"/>
      <c r="GG2416"/>
      <c r="GH2416"/>
    </row>
    <row r="2417" spans="187:190" s="1" customFormat="1" ht="18" customHeight="1" x14ac:dyDescent="0.2">
      <c r="GE2417"/>
      <c r="GF2417"/>
      <c r="GG2417"/>
      <c r="GH2417"/>
    </row>
    <row r="2418" spans="187:190" s="1" customFormat="1" ht="18" customHeight="1" x14ac:dyDescent="0.2">
      <c r="GE2418"/>
      <c r="GF2418"/>
      <c r="GG2418"/>
      <c r="GH2418"/>
    </row>
    <row r="2419" spans="187:190" s="1" customFormat="1" ht="18" customHeight="1" x14ac:dyDescent="0.2">
      <c r="GE2419"/>
      <c r="GF2419"/>
      <c r="GG2419"/>
      <c r="GH2419"/>
    </row>
    <row r="2420" spans="187:190" s="1" customFormat="1" ht="18" customHeight="1" x14ac:dyDescent="0.2">
      <c r="GE2420"/>
      <c r="GF2420"/>
      <c r="GG2420"/>
      <c r="GH2420"/>
    </row>
    <row r="2421" spans="187:190" s="1" customFormat="1" ht="18" customHeight="1" x14ac:dyDescent="0.2">
      <c r="GE2421"/>
      <c r="GF2421"/>
      <c r="GG2421"/>
      <c r="GH2421"/>
    </row>
    <row r="2422" spans="187:190" s="1" customFormat="1" ht="18" customHeight="1" x14ac:dyDescent="0.2">
      <c r="GE2422"/>
      <c r="GF2422"/>
      <c r="GG2422"/>
      <c r="GH2422"/>
    </row>
    <row r="2423" spans="187:190" s="1" customFormat="1" ht="18" customHeight="1" x14ac:dyDescent="0.2">
      <c r="GE2423"/>
      <c r="GF2423"/>
      <c r="GG2423"/>
      <c r="GH2423"/>
    </row>
    <row r="2424" spans="187:190" s="1" customFormat="1" ht="18" customHeight="1" x14ac:dyDescent="0.2">
      <c r="GE2424"/>
      <c r="GF2424"/>
      <c r="GG2424"/>
      <c r="GH2424"/>
    </row>
    <row r="2425" spans="187:190" s="1" customFormat="1" ht="18" customHeight="1" x14ac:dyDescent="0.2">
      <c r="GE2425"/>
      <c r="GF2425"/>
      <c r="GG2425"/>
      <c r="GH2425"/>
    </row>
    <row r="2426" spans="187:190" s="1" customFormat="1" ht="18" customHeight="1" x14ac:dyDescent="0.2">
      <c r="GE2426"/>
      <c r="GF2426"/>
      <c r="GG2426"/>
      <c r="GH2426"/>
    </row>
    <row r="2427" spans="187:190" s="1" customFormat="1" ht="18" customHeight="1" x14ac:dyDescent="0.2">
      <c r="GE2427"/>
      <c r="GF2427"/>
      <c r="GG2427"/>
      <c r="GH2427"/>
    </row>
    <row r="2428" spans="187:190" s="1" customFormat="1" ht="18" customHeight="1" x14ac:dyDescent="0.2">
      <c r="GE2428"/>
      <c r="GF2428"/>
      <c r="GG2428"/>
      <c r="GH2428"/>
    </row>
    <row r="2429" spans="187:190" s="1" customFormat="1" ht="18" customHeight="1" x14ac:dyDescent="0.2">
      <c r="GE2429"/>
      <c r="GF2429"/>
      <c r="GG2429"/>
      <c r="GH2429"/>
    </row>
    <row r="2430" spans="187:190" s="1" customFormat="1" ht="18" customHeight="1" x14ac:dyDescent="0.2">
      <c r="GE2430"/>
      <c r="GF2430"/>
      <c r="GG2430"/>
      <c r="GH2430"/>
    </row>
    <row r="2431" spans="187:190" s="1" customFormat="1" ht="18" customHeight="1" x14ac:dyDescent="0.2">
      <c r="GE2431"/>
      <c r="GF2431"/>
      <c r="GG2431"/>
      <c r="GH2431"/>
    </row>
    <row r="2432" spans="187:190" s="1" customFormat="1" ht="18" customHeight="1" x14ac:dyDescent="0.2">
      <c r="GE2432"/>
      <c r="GF2432"/>
      <c r="GG2432"/>
      <c r="GH2432"/>
    </row>
    <row r="2433" spans="187:190" s="1" customFormat="1" ht="18" customHeight="1" x14ac:dyDescent="0.2">
      <c r="GE2433"/>
      <c r="GF2433"/>
      <c r="GG2433"/>
      <c r="GH2433"/>
    </row>
    <row r="2434" spans="187:190" s="1" customFormat="1" ht="18" customHeight="1" x14ac:dyDescent="0.2">
      <c r="GE2434"/>
      <c r="GF2434"/>
      <c r="GG2434"/>
      <c r="GH2434"/>
    </row>
    <row r="2435" spans="187:190" s="1" customFormat="1" ht="18" customHeight="1" x14ac:dyDescent="0.2">
      <c r="GE2435"/>
      <c r="GF2435"/>
      <c r="GG2435"/>
      <c r="GH2435"/>
    </row>
    <row r="2436" spans="187:190" s="1" customFormat="1" ht="18" customHeight="1" x14ac:dyDescent="0.2">
      <c r="GE2436"/>
      <c r="GF2436"/>
      <c r="GG2436"/>
      <c r="GH2436"/>
    </row>
    <row r="2437" spans="187:190" s="1" customFormat="1" ht="18" customHeight="1" x14ac:dyDescent="0.2">
      <c r="GE2437"/>
      <c r="GF2437"/>
      <c r="GG2437"/>
      <c r="GH2437"/>
    </row>
    <row r="2438" spans="187:190" s="1" customFormat="1" ht="18" customHeight="1" x14ac:dyDescent="0.2">
      <c r="GE2438"/>
      <c r="GF2438"/>
      <c r="GG2438"/>
      <c r="GH2438"/>
    </row>
    <row r="2439" spans="187:190" s="1" customFormat="1" ht="18" customHeight="1" x14ac:dyDescent="0.2">
      <c r="GE2439"/>
      <c r="GF2439"/>
      <c r="GG2439"/>
      <c r="GH2439"/>
    </row>
    <row r="2440" spans="187:190" s="1" customFormat="1" ht="18" customHeight="1" x14ac:dyDescent="0.2">
      <c r="GE2440"/>
      <c r="GF2440"/>
      <c r="GG2440"/>
      <c r="GH2440"/>
    </row>
    <row r="2441" spans="187:190" s="1" customFormat="1" ht="18" customHeight="1" x14ac:dyDescent="0.2">
      <c r="GE2441"/>
      <c r="GF2441"/>
      <c r="GG2441"/>
      <c r="GH2441"/>
    </row>
    <row r="2442" spans="187:190" s="1" customFormat="1" ht="18" customHeight="1" x14ac:dyDescent="0.2">
      <c r="GE2442"/>
      <c r="GF2442"/>
      <c r="GG2442"/>
      <c r="GH2442"/>
    </row>
    <row r="2443" spans="187:190" s="1" customFormat="1" ht="18" customHeight="1" x14ac:dyDescent="0.2">
      <c r="GE2443"/>
      <c r="GF2443"/>
      <c r="GG2443"/>
      <c r="GH2443"/>
    </row>
    <row r="2444" spans="187:190" s="1" customFormat="1" ht="18" customHeight="1" x14ac:dyDescent="0.2">
      <c r="GE2444"/>
      <c r="GF2444"/>
      <c r="GG2444"/>
      <c r="GH2444"/>
    </row>
    <row r="2445" spans="187:190" s="1" customFormat="1" ht="18" customHeight="1" x14ac:dyDescent="0.2">
      <c r="GE2445"/>
      <c r="GF2445"/>
      <c r="GG2445"/>
      <c r="GH2445"/>
    </row>
    <row r="2446" spans="187:190" s="1" customFormat="1" ht="18" customHeight="1" x14ac:dyDescent="0.2">
      <c r="GE2446"/>
      <c r="GF2446"/>
      <c r="GG2446"/>
      <c r="GH2446"/>
    </row>
    <row r="2447" spans="187:190" s="1" customFormat="1" ht="18" customHeight="1" x14ac:dyDescent="0.2">
      <c r="GE2447"/>
      <c r="GF2447"/>
      <c r="GG2447"/>
      <c r="GH2447"/>
    </row>
    <row r="2448" spans="187:190" s="1" customFormat="1" ht="18" customHeight="1" x14ac:dyDescent="0.2">
      <c r="GE2448"/>
      <c r="GF2448"/>
      <c r="GG2448"/>
      <c r="GH2448"/>
    </row>
    <row r="2449" spans="187:190" s="1" customFormat="1" ht="18" customHeight="1" x14ac:dyDescent="0.2">
      <c r="GE2449"/>
      <c r="GF2449"/>
      <c r="GG2449"/>
      <c r="GH2449"/>
    </row>
    <row r="2450" spans="187:190" s="1" customFormat="1" ht="18" customHeight="1" x14ac:dyDescent="0.2">
      <c r="GE2450"/>
      <c r="GF2450"/>
      <c r="GG2450"/>
      <c r="GH2450"/>
    </row>
    <row r="2451" spans="187:190" s="1" customFormat="1" ht="18" customHeight="1" x14ac:dyDescent="0.2">
      <c r="GE2451"/>
      <c r="GF2451"/>
      <c r="GG2451"/>
      <c r="GH2451"/>
    </row>
    <row r="2452" spans="187:190" s="1" customFormat="1" ht="18" customHeight="1" x14ac:dyDescent="0.2">
      <c r="GE2452"/>
      <c r="GF2452"/>
      <c r="GG2452"/>
      <c r="GH2452"/>
    </row>
    <row r="2453" spans="187:190" s="1" customFormat="1" ht="18" customHeight="1" x14ac:dyDescent="0.2">
      <c r="GE2453"/>
      <c r="GF2453"/>
      <c r="GG2453"/>
      <c r="GH2453"/>
    </row>
    <row r="2454" spans="187:190" s="1" customFormat="1" ht="18" customHeight="1" x14ac:dyDescent="0.2">
      <c r="GE2454"/>
      <c r="GF2454"/>
      <c r="GG2454"/>
      <c r="GH2454"/>
    </row>
    <row r="2455" spans="187:190" s="1" customFormat="1" ht="18" customHeight="1" x14ac:dyDescent="0.2">
      <c r="GE2455"/>
      <c r="GF2455"/>
      <c r="GG2455"/>
      <c r="GH2455"/>
    </row>
    <row r="2456" spans="187:190" s="1" customFormat="1" ht="18" customHeight="1" x14ac:dyDescent="0.2">
      <c r="GE2456"/>
      <c r="GF2456"/>
      <c r="GG2456"/>
      <c r="GH2456"/>
    </row>
    <row r="2457" spans="187:190" s="1" customFormat="1" ht="18" customHeight="1" x14ac:dyDescent="0.2">
      <c r="GE2457"/>
      <c r="GF2457"/>
      <c r="GG2457"/>
      <c r="GH2457"/>
    </row>
    <row r="2458" spans="187:190" s="1" customFormat="1" ht="18" customHeight="1" x14ac:dyDescent="0.2">
      <c r="GE2458"/>
      <c r="GF2458"/>
      <c r="GG2458"/>
      <c r="GH2458"/>
    </row>
    <row r="2459" spans="187:190" s="1" customFormat="1" ht="18" customHeight="1" x14ac:dyDescent="0.2">
      <c r="GE2459"/>
      <c r="GF2459"/>
      <c r="GG2459"/>
      <c r="GH2459"/>
    </row>
    <row r="2460" spans="187:190" s="1" customFormat="1" ht="18" customHeight="1" x14ac:dyDescent="0.2">
      <c r="GE2460"/>
      <c r="GF2460"/>
      <c r="GG2460"/>
      <c r="GH2460"/>
    </row>
    <row r="2461" spans="187:190" s="1" customFormat="1" ht="18" customHeight="1" x14ac:dyDescent="0.2">
      <c r="GE2461"/>
      <c r="GF2461"/>
      <c r="GG2461"/>
      <c r="GH2461"/>
    </row>
    <row r="2462" spans="187:190" s="1" customFormat="1" ht="18" customHeight="1" x14ac:dyDescent="0.2">
      <c r="GE2462"/>
      <c r="GF2462"/>
      <c r="GG2462"/>
      <c r="GH2462"/>
    </row>
    <row r="2463" spans="187:190" s="1" customFormat="1" ht="18" customHeight="1" x14ac:dyDescent="0.2">
      <c r="GE2463"/>
      <c r="GF2463"/>
      <c r="GG2463"/>
      <c r="GH2463"/>
    </row>
    <row r="2464" spans="187:190" s="1" customFormat="1" ht="18" customHeight="1" x14ac:dyDescent="0.2">
      <c r="GE2464"/>
      <c r="GF2464"/>
      <c r="GG2464"/>
      <c r="GH2464"/>
    </row>
    <row r="2465" spans="187:190" s="1" customFormat="1" ht="18" customHeight="1" x14ac:dyDescent="0.2">
      <c r="GE2465"/>
      <c r="GF2465"/>
      <c r="GG2465"/>
      <c r="GH2465"/>
    </row>
    <row r="2466" spans="187:190" s="1" customFormat="1" ht="18" customHeight="1" x14ac:dyDescent="0.2">
      <c r="GE2466"/>
      <c r="GF2466"/>
      <c r="GG2466"/>
      <c r="GH2466"/>
    </row>
    <row r="2467" spans="187:190" s="1" customFormat="1" ht="18" customHeight="1" x14ac:dyDescent="0.2">
      <c r="GE2467"/>
      <c r="GF2467"/>
      <c r="GG2467"/>
      <c r="GH2467"/>
    </row>
    <row r="2468" spans="187:190" s="1" customFormat="1" ht="18" customHeight="1" x14ac:dyDescent="0.2">
      <c r="GE2468"/>
      <c r="GF2468"/>
      <c r="GG2468"/>
      <c r="GH2468"/>
    </row>
    <row r="2469" spans="187:190" s="1" customFormat="1" ht="18" customHeight="1" x14ac:dyDescent="0.2">
      <c r="GE2469"/>
      <c r="GF2469"/>
      <c r="GG2469"/>
      <c r="GH2469"/>
    </row>
    <row r="2470" spans="187:190" s="1" customFormat="1" ht="18" customHeight="1" x14ac:dyDescent="0.2">
      <c r="GE2470"/>
      <c r="GF2470"/>
      <c r="GG2470"/>
      <c r="GH2470"/>
    </row>
    <row r="2471" spans="187:190" s="1" customFormat="1" ht="18" customHeight="1" x14ac:dyDescent="0.2">
      <c r="GE2471"/>
      <c r="GF2471"/>
      <c r="GG2471"/>
      <c r="GH2471"/>
    </row>
    <row r="2472" spans="187:190" s="1" customFormat="1" ht="18" customHeight="1" x14ac:dyDescent="0.2">
      <c r="GE2472"/>
      <c r="GF2472"/>
      <c r="GG2472"/>
      <c r="GH2472"/>
    </row>
    <row r="2473" spans="187:190" s="1" customFormat="1" ht="18" customHeight="1" x14ac:dyDescent="0.2">
      <c r="GE2473"/>
      <c r="GF2473"/>
      <c r="GG2473"/>
      <c r="GH2473"/>
    </row>
    <row r="2474" spans="187:190" s="1" customFormat="1" ht="18" customHeight="1" x14ac:dyDescent="0.2">
      <c r="GE2474"/>
      <c r="GF2474"/>
      <c r="GG2474"/>
      <c r="GH2474"/>
    </row>
    <row r="2475" spans="187:190" s="1" customFormat="1" ht="18" customHeight="1" x14ac:dyDescent="0.2">
      <c r="GE2475"/>
      <c r="GF2475"/>
      <c r="GG2475"/>
      <c r="GH2475"/>
    </row>
    <row r="2476" spans="187:190" s="1" customFormat="1" ht="18" customHeight="1" x14ac:dyDescent="0.2">
      <c r="GE2476"/>
      <c r="GF2476"/>
      <c r="GG2476"/>
      <c r="GH2476"/>
    </row>
    <row r="2477" spans="187:190" s="1" customFormat="1" ht="18" customHeight="1" x14ac:dyDescent="0.2">
      <c r="GE2477"/>
      <c r="GF2477"/>
      <c r="GG2477"/>
      <c r="GH2477"/>
    </row>
    <row r="2478" spans="187:190" s="1" customFormat="1" ht="18" customHeight="1" x14ac:dyDescent="0.2">
      <c r="GE2478"/>
      <c r="GF2478"/>
      <c r="GG2478"/>
      <c r="GH2478"/>
    </row>
    <row r="2479" spans="187:190" s="1" customFormat="1" ht="18" customHeight="1" x14ac:dyDescent="0.2">
      <c r="GE2479"/>
      <c r="GF2479"/>
      <c r="GG2479"/>
      <c r="GH2479"/>
    </row>
    <row r="2480" spans="187:190" s="1" customFormat="1" ht="18" customHeight="1" x14ac:dyDescent="0.2">
      <c r="GE2480"/>
      <c r="GF2480"/>
      <c r="GG2480"/>
      <c r="GH2480"/>
    </row>
    <row r="2481" spans="187:190" s="1" customFormat="1" ht="18" customHeight="1" x14ac:dyDescent="0.2">
      <c r="GE2481"/>
      <c r="GF2481"/>
      <c r="GG2481"/>
      <c r="GH2481"/>
    </row>
    <row r="2482" spans="187:190" s="1" customFormat="1" ht="18" customHeight="1" x14ac:dyDescent="0.2">
      <c r="GE2482"/>
      <c r="GF2482"/>
      <c r="GG2482"/>
      <c r="GH2482"/>
    </row>
    <row r="2483" spans="187:190" s="1" customFormat="1" ht="18" customHeight="1" x14ac:dyDescent="0.2">
      <c r="GE2483"/>
      <c r="GF2483"/>
      <c r="GG2483"/>
      <c r="GH2483"/>
    </row>
    <row r="2484" spans="187:190" s="1" customFormat="1" ht="18" customHeight="1" x14ac:dyDescent="0.2">
      <c r="GE2484"/>
      <c r="GF2484"/>
      <c r="GG2484"/>
      <c r="GH2484"/>
    </row>
    <row r="2485" spans="187:190" s="1" customFormat="1" ht="18" customHeight="1" x14ac:dyDescent="0.2">
      <c r="GE2485"/>
      <c r="GF2485"/>
      <c r="GG2485"/>
      <c r="GH2485"/>
    </row>
    <row r="2486" spans="187:190" s="1" customFormat="1" ht="18" customHeight="1" x14ac:dyDescent="0.2">
      <c r="GE2486"/>
      <c r="GF2486"/>
      <c r="GG2486"/>
      <c r="GH2486"/>
    </row>
    <row r="2487" spans="187:190" s="1" customFormat="1" ht="18" customHeight="1" x14ac:dyDescent="0.2">
      <c r="GE2487"/>
      <c r="GF2487"/>
      <c r="GG2487"/>
      <c r="GH2487"/>
    </row>
    <row r="2488" spans="187:190" s="1" customFormat="1" ht="18" customHeight="1" x14ac:dyDescent="0.2">
      <c r="GE2488"/>
      <c r="GF2488"/>
      <c r="GG2488"/>
      <c r="GH2488"/>
    </row>
    <row r="2489" spans="187:190" s="1" customFormat="1" ht="18" customHeight="1" x14ac:dyDescent="0.2">
      <c r="GE2489"/>
      <c r="GF2489"/>
      <c r="GG2489"/>
      <c r="GH2489"/>
    </row>
    <row r="2490" spans="187:190" s="1" customFormat="1" ht="18" customHeight="1" x14ac:dyDescent="0.2">
      <c r="GE2490"/>
      <c r="GF2490"/>
      <c r="GG2490"/>
      <c r="GH2490"/>
    </row>
    <row r="2491" spans="187:190" s="1" customFormat="1" ht="18" customHeight="1" x14ac:dyDescent="0.2">
      <c r="GE2491"/>
      <c r="GF2491"/>
      <c r="GG2491"/>
      <c r="GH2491"/>
    </row>
    <row r="2492" spans="187:190" s="1" customFormat="1" ht="18" customHeight="1" x14ac:dyDescent="0.2">
      <c r="GE2492"/>
      <c r="GF2492"/>
      <c r="GG2492"/>
      <c r="GH2492"/>
    </row>
    <row r="2493" spans="187:190" s="1" customFormat="1" ht="18" customHeight="1" x14ac:dyDescent="0.2">
      <c r="GE2493"/>
      <c r="GF2493"/>
      <c r="GG2493"/>
      <c r="GH2493"/>
    </row>
    <row r="2494" spans="187:190" s="1" customFormat="1" ht="18" customHeight="1" x14ac:dyDescent="0.2">
      <c r="GE2494"/>
      <c r="GF2494"/>
      <c r="GG2494"/>
      <c r="GH2494"/>
    </row>
    <row r="2495" spans="187:190" s="1" customFormat="1" ht="18" customHeight="1" x14ac:dyDescent="0.2">
      <c r="GE2495"/>
      <c r="GF2495"/>
      <c r="GG2495"/>
      <c r="GH2495"/>
    </row>
    <row r="2496" spans="187:190" s="1" customFormat="1" ht="18" customHeight="1" x14ac:dyDescent="0.2">
      <c r="GE2496"/>
      <c r="GF2496"/>
      <c r="GG2496"/>
      <c r="GH2496"/>
    </row>
    <row r="2497" spans="187:190" s="1" customFormat="1" ht="18" customHeight="1" x14ac:dyDescent="0.2">
      <c r="GE2497"/>
      <c r="GF2497"/>
      <c r="GG2497"/>
      <c r="GH2497"/>
    </row>
    <row r="2498" spans="187:190" s="1" customFormat="1" ht="18" customHeight="1" x14ac:dyDescent="0.2">
      <c r="GE2498"/>
      <c r="GF2498"/>
      <c r="GG2498"/>
      <c r="GH2498"/>
    </row>
    <row r="2499" spans="187:190" s="1" customFormat="1" ht="18" customHeight="1" x14ac:dyDescent="0.2">
      <c r="GE2499"/>
      <c r="GF2499"/>
      <c r="GG2499"/>
      <c r="GH2499"/>
    </row>
    <row r="2500" spans="187:190" s="1" customFormat="1" ht="18" customHeight="1" x14ac:dyDescent="0.2">
      <c r="GE2500"/>
      <c r="GF2500"/>
      <c r="GG2500"/>
      <c r="GH2500"/>
    </row>
    <row r="2501" spans="187:190" s="1" customFormat="1" ht="18" customHeight="1" x14ac:dyDescent="0.2">
      <c r="GE2501"/>
      <c r="GF2501"/>
      <c r="GG2501"/>
      <c r="GH2501"/>
    </row>
    <row r="2502" spans="187:190" s="1" customFormat="1" ht="18" customHeight="1" x14ac:dyDescent="0.2">
      <c r="GE2502"/>
      <c r="GF2502"/>
      <c r="GG2502"/>
      <c r="GH2502"/>
    </row>
    <row r="2503" spans="187:190" s="1" customFormat="1" ht="18" customHeight="1" x14ac:dyDescent="0.2">
      <c r="GE2503"/>
      <c r="GF2503"/>
      <c r="GG2503"/>
      <c r="GH2503"/>
    </row>
    <row r="2504" spans="187:190" s="1" customFormat="1" ht="18" customHeight="1" x14ac:dyDescent="0.2">
      <c r="GE2504"/>
      <c r="GF2504"/>
      <c r="GG2504"/>
      <c r="GH2504"/>
    </row>
    <row r="2505" spans="187:190" s="1" customFormat="1" ht="18" customHeight="1" x14ac:dyDescent="0.2">
      <c r="GE2505"/>
      <c r="GF2505"/>
      <c r="GG2505"/>
      <c r="GH2505"/>
    </row>
    <row r="2506" spans="187:190" s="1" customFormat="1" ht="18" customHeight="1" x14ac:dyDescent="0.2">
      <c r="GE2506"/>
      <c r="GF2506"/>
      <c r="GG2506"/>
      <c r="GH2506"/>
    </row>
    <row r="2507" spans="187:190" s="1" customFormat="1" ht="18" customHeight="1" x14ac:dyDescent="0.2">
      <c r="GE2507"/>
      <c r="GF2507"/>
      <c r="GG2507"/>
      <c r="GH2507"/>
    </row>
    <row r="2508" spans="187:190" s="1" customFormat="1" ht="18" customHeight="1" x14ac:dyDescent="0.2">
      <c r="GE2508"/>
      <c r="GF2508"/>
      <c r="GG2508"/>
      <c r="GH2508"/>
    </row>
    <row r="2509" spans="187:190" s="1" customFormat="1" ht="18" customHeight="1" x14ac:dyDescent="0.2">
      <c r="GE2509"/>
      <c r="GF2509"/>
      <c r="GG2509"/>
      <c r="GH2509"/>
    </row>
    <row r="2510" spans="187:190" s="1" customFormat="1" ht="18" customHeight="1" x14ac:dyDescent="0.2">
      <c r="GE2510"/>
      <c r="GF2510"/>
      <c r="GG2510"/>
      <c r="GH2510"/>
    </row>
    <row r="2511" spans="187:190" s="1" customFormat="1" ht="18" customHeight="1" x14ac:dyDescent="0.2">
      <c r="GE2511"/>
      <c r="GF2511"/>
      <c r="GG2511"/>
      <c r="GH2511"/>
    </row>
    <row r="2512" spans="187:190" s="1" customFormat="1" ht="18" customHeight="1" x14ac:dyDescent="0.2">
      <c r="GE2512"/>
      <c r="GF2512"/>
      <c r="GG2512"/>
      <c r="GH2512"/>
    </row>
    <row r="2513" spans="187:190" s="1" customFormat="1" ht="18" customHeight="1" x14ac:dyDescent="0.2">
      <c r="GE2513"/>
      <c r="GF2513"/>
      <c r="GG2513"/>
      <c r="GH2513"/>
    </row>
    <row r="2514" spans="187:190" s="1" customFormat="1" ht="18" customHeight="1" x14ac:dyDescent="0.2">
      <c r="GE2514"/>
      <c r="GF2514"/>
      <c r="GG2514"/>
      <c r="GH2514"/>
    </row>
    <row r="2515" spans="187:190" s="1" customFormat="1" ht="18" customHeight="1" x14ac:dyDescent="0.2">
      <c r="GE2515"/>
      <c r="GF2515"/>
      <c r="GG2515"/>
      <c r="GH2515"/>
    </row>
    <row r="2516" spans="187:190" s="1" customFormat="1" ht="18" customHeight="1" x14ac:dyDescent="0.2">
      <c r="GE2516"/>
      <c r="GF2516"/>
      <c r="GG2516"/>
      <c r="GH2516"/>
    </row>
    <row r="2517" spans="187:190" s="1" customFormat="1" ht="18" customHeight="1" x14ac:dyDescent="0.2">
      <c r="GE2517"/>
      <c r="GF2517"/>
      <c r="GG2517"/>
      <c r="GH2517"/>
    </row>
    <row r="2518" spans="187:190" s="1" customFormat="1" ht="18" customHeight="1" x14ac:dyDescent="0.2">
      <c r="GE2518"/>
      <c r="GF2518"/>
      <c r="GG2518"/>
      <c r="GH2518"/>
    </row>
    <row r="2519" spans="187:190" s="1" customFormat="1" ht="18" customHeight="1" x14ac:dyDescent="0.2">
      <c r="GE2519"/>
      <c r="GF2519"/>
      <c r="GG2519"/>
      <c r="GH2519"/>
    </row>
    <row r="2520" spans="187:190" s="1" customFormat="1" ht="18" customHeight="1" x14ac:dyDescent="0.2">
      <c r="GE2520"/>
      <c r="GF2520"/>
      <c r="GG2520"/>
      <c r="GH2520"/>
    </row>
    <row r="2521" spans="187:190" s="1" customFormat="1" ht="18" customHeight="1" x14ac:dyDescent="0.2">
      <c r="GE2521"/>
      <c r="GF2521"/>
      <c r="GG2521"/>
      <c r="GH2521"/>
    </row>
    <row r="2522" spans="187:190" s="1" customFormat="1" ht="18" customHeight="1" x14ac:dyDescent="0.2">
      <c r="GE2522"/>
      <c r="GF2522"/>
      <c r="GG2522"/>
      <c r="GH2522"/>
    </row>
    <row r="2523" spans="187:190" s="1" customFormat="1" ht="18" customHeight="1" x14ac:dyDescent="0.2">
      <c r="GE2523"/>
      <c r="GF2523"/>
      <c r="GG2523"/>
      <c r="GH2523"/>
    </row>
    <row r="2524" spans="187:190" s="1" customFormat="1" ht="18" customHeight="1" x14ac:dyDescent="0.2">
      <c r="GE2524"/>
      <c r="GF2524"/>
      <c r="GG2524"/>
      <c r="GH2524"/>
    </row>
    <row r="2525" spans="187:190" s="1" customFormat="1" ht="18" customHeight="1" x14ac:dyDescent="0.2">
      <c r="GE2525"/>
      <c r="GF2525"/>
      <c r="GG2525"/>
      <c r="GH2525"/>
    </row>
    <row r="2526" spans="187:190" s="1" customFormat="1" ht="18" customHeight="1" x14ac:dyDescent="0.2">
      <c r="GE2526"/>
      <c r="GF2526"/>
      <c r="GG2526"/>
      <c r="GH2526"/>
    </row>
    <row r="2527" spans="187:190" s="1" customFormat="1" ht="18" customHeight="1" x14ac:dyDescent="0.2">
      <c r="GE2527"/>
      <c r="GF2527"/>
      <c r="GG2527"/>
      <c r="GH2527"/>
    </row>
    <row r="2528" spans="187:190" s="1" customFormat="1" ht="18" customHeight="1" x14ac:dyDescent="0.2">
      <c r="GE2528"/>
      <c r="GF2528"/>
      <c r="GG2528"/>
      <c r="GH2528"/>
    </row>
    <row r="2529" spans="187:190" s="1" customFormat="1" ht="18" customHeight="1" x14ac:dyDescent="0.2">
      <c r="GE2529"/>
      <c r="GF2529"/>
      <c r="GG2529"/>
      <c r="GH2529"/>
    </row>
    <row r="2530" spans="187:190" s="1" customFormat="1" ht="18" customHeight="1" x14ac:dyDescent="0.2">
      <c r="GE2530"/>
      <c r="GF2530"/>
      <c r="GG2530"/>
      <c r="GH2530"/>
    </row>
    <row r="2531" spans="187:190" s="1" customFormat="1" ht="18" customHeight="1" x14ac:dyDescent="0.2">
      <c r="GE2531"/>
      <c r="GF2531"/>
      <c r="GG2531"/>
      <c r="GH2531"/>
    </row>
    <row r="2532" spans="187:190" s="1" customFormat="1" ht="18" customHeight="1" x14ac:dyDescent="0.2">
      <c r="GE2532"/>
      <c r="GF2532"/>
      <c r="GG2532"/>
      <c r="GH2532"/>
    </row>
    <row r="2533" spans="187:190" s="1" customFormat="1" ht="18" customHeight="1" x14ac:dyDescent="0.2">
      <c r="GE2533"/>
      <c r="GF2533"/>
      <c r="GG2533"/>
      <c r="GH2533"/>
    </row>
    <row r="2534" spans="187:190" s="1" customFormat="1" ht="18" customHeight="1" x14ac:dyDescent="0.2">
      <c r="GE2534"/>
      <c r="GF2534"/>
      <c r="GG2534"/>
      <c r="GH2534"/>
    </row>
    <row r="2535" spans="187:190" s="1" customFormat="1" ht="18" customHeight="1" x14ac:dyDescent="0.2">
      <c r="GE2535"/>
      <c r="GF2535"/>
      <c r="GG2535"/>
      <c r="GH2535"/>
    </row>
    <row r="2536" spans="187:190" s="1" customFormat="1" ht="18" customHeight="1" x14ac:dyDescent="0.2">
      <c r="GE2536"/>
      <c r="GF2536"/>
      <c r="GG2536"/>
      <c r="GH2536"/>
    </row>
    <row r="2537" spans="187:190" s="1" customFormat="1" ht="18" customHeight="1" x14ac:dyDescent="0.2">
      <c r="GE2537"/>
      <c r="GF2537"/>
      <c r="GG2537"/>
      <c r="GH2537"/>
    </row>
    <row r="2538" spans="187:190" s="1" customFormat="1" ht="18" customHeight="1" x14ac:dyDescent="0.2">
      <c r="GE2538"/>
      <c r="GF2538"/>
      <c r="GG2538"/>
      <c r="GH2538"/>
    </row>
    <row r="2539" spans="187:190" s="1" customFormat="1" ht="18" customHeight="1" x14ac:dyDescent="0.2">
      <c r="GE2539"/>
      <c r="GF2539"/>
      <c r="GG2539"/>
      <c r="GH2539"/>
    </row>
    <row r="2540" spans="187:190" s="1" customFormat="1" ht="18" customHeight="1" x14ac:dyDescent="0.2">
      <c r="GE2540"/>
      <c r="GF2540"/>
      <c r="GG2540"/>
      <c r="GH2540"/>
    </row>
    <row r="2541" spans="187:190" s="1" customFormat="1" ht="18" customHeight="1" x14ac:dyDescent="0.2">
      <c r="GE2541"/>
      <c r="GF2541"/>
      <c r="GG2541"/>
      <c r="GH2541"/>
    </row>
    <row r="2542" spans="187:190" s="1" customFormat="1" ht="18" customHeight="1" x14ac:dyDescent="0.2">
      <c r="GE2542"/>
      <c r="GF2542"/>
      <c r="GG2542"/>
      <c r="GH2542"/>
    </row>
    <row r="2543" spans="187:190" s="1" customFormat="1" ht="18" customHeight="1" x14ac:dyDescent="0.2">
      <c r="GE2543"/>
      <c r="GF2543"/>
      <c r="GG2543"/>
      <c r="GH2543"/>
    </row>
    <row r="2544" spans="187:190" s="1" customFormat="1" ht="18" customHeight="1" x14ac:dyDescent="0.2">
      <c r="GE2544"/>
      <c r="GF2544"/>
      <c r="GG2544"/>
      <c r="GH2544"/>
    </row>
    <row r="2545" spans="187:190" s="1" customFormat="1" ht="18" customHeight="1" x14ac:dyDescent="0.2">
      <c r="GE2545"/>
      <c r="GF2545"/>
      <c r="GG2545"/>
      <c r="GH2545"/>
    </row>
    <row r="2546" spans="187:190" s="1" customFormat="1" ht="18" customHeight="1" x14ac:dyDescent="0.2">
      <c r="GE2546"/>
      <c r="GF2546"/>
      <c r="GG2546"/>
      <c r="GH2546"/>
    </row>
    <row r="2547" spans="187:190" s="1" customFormat="1" ht="18" customHeight="1" x14ac:dyDescent="0.2">
      <c r="GE2547"/>
      <c r="GF2547"/>
      <c r="GG2547"/>
      <c r="GH2547"/>
    </row>
    <row r="2548" spans="187:190" s="1" customFormat="1" ht="18" customHeight="1" x14ac:dyDescent="0.2">
      <c r="GE2548"/>
      <c r="GF2548"/>
      <c r="GG2548"/>
      <c r="GH2548"/>
    </row>
    <row r="2549" spans="187:190" s="1" customFormat="1" ht="18" customHeight="1" x14ac:dyDescent="0.2">
      <c r="GE2549"/>
      <c r="GF2549"/>
      <c r="GG2549"/>
      <c r="GH2549"/>
    </row>
    <row r="2550" spans="187:190" s="1" customFormat="1" ht="18" customHeight="1" x14ac:dyDescent="0.2">
      <c r="GE2550"/>
      <c r="GF2550"/>
      <c r="GG2550"/>
      <c r="GH2550"/>
    </row>
    <row r="2551" spans="187:190" s="1" customFormat="1" ht="18" customHeight="1" x14ac:dyDescent="0.2">
      <c r="GE2551"/>
      <c r="GF2551"/>
      <c r="GG2551"/>
      <c r="GH2551"/>
    </row>
    <row r="2552" spans="187:190" s="1" customFormat="1" ht="18" customHeight="1" x14ac:dyDescent="0.2">
      <c r="GE2552"/>
      <c r="GF2552"/>
      <c r="GG2552"/>
      <c r="GH2552"/>
    </row>
    <row r="2553" spans="187:190" s="1" customFormat="1" ht="18" customHeight="1" x14ac:dyDescent="0.2">
      <c r="GE2553"/>
      <c r="GF2553"/>
      <c r="GG2553"/>
      <c r="GH2553"/>
    </row>
    <row r="2554" spans="187:190" s="1" customFormat="1" ht="18" customHeight="1" x14ac:dyDescent="0.2">
      <c r="GE2554"/>
      <c r="GF2554"/>
      <c r="GG2554"/>
      <c r="GH2554"/>
    </row>
    <row r="2555" spans="187:190" s="1" customFormat="1" ht="18" customHeight="1" x14ac:dyDescent="0.2">
      <c r="GE2555"/>
      <c r="GF2555"/>
      <c r="GG2555"/>
      <c r="GH2555"/>
    </row>
    <row r="2556" spans="187:190" s="1" customFormat="1" ht="18" customHeight="1" x14ac:dyDescent="0.2">
      <c r="GE2556"/>
      <c r="GF2556"/>
      <c r="GG2556"/>
      <c r="GH2556"/>
    </row>
    <row r="2557" spans="187:190" s="1" customFormat="1" ht="18" customHeight="1" x14ac:dyDescent="0.2">
      <c r="GE2557"/>
      <c r="GF2557"/>
      <c r="GG2557"/>
      <c r="GH2557"/>
    </row>
    <row r="2558" spans="187:190" s="1" customFormat="1" ht="18" customHeight="1" x14ac:dyDescent="0.2">
      <c r="GE2558"/>
      <c r="GF2558"/>
      <c r="GG2558"/>
      <c r="GH2558"/>
    </row>
    <row r="2559" spans="187:190" s="1" customFormat="1" ht="18" customHeight="1" x14ac:dyDescent="0.2">
      <c r="GE2559"/>
      <c r="GF2559"/>
      <c r="GG2559"/>
      <c r="GH2559"/>
    </row>
    <row r="2560" spans="187:190" s="1" customFormat="1" ht="18" customHeight="1" x14ac:dyDescent="0.2">
      <c r="GE2560"/>
      <c r="GF2560"/>
      <c r="GG2560"/>
      <c r="GH2560"/>
    </row>
    <row r="2561" spans="187:190" s="1" customFormat="1" ht="18" customHeight="1" x14ac:dyDescent="0.2">
      <c r="GE2561"/>
      <c r="GF2561"/>
      <c r="GG2561"/>
      <c r="GH2561"/>
    </row>
    <row r="2562" spans="187:190" s="1" customFormat="1" ht="18" customHeight="1" x14ac:dyDescent="0.2">
      <c r="GE2562"/>
      <c r="GF2562"/>
      <c r="GG2562"/>
      <c r="GH2562"/>
    </row>
    <row r="2563" spans="187:190" s="1" customFormat="1" ht="18" customHeight="1" x14ac:dyDescent="0.2">
      <c r="GE2563"/>
      <c r="GF2563"/>
      <c r="GG2563"/>
      <c r="GH2563"/>
    </row>
    <row r="2564" spans="187:190" s="1" customFormat="1" ht="18" customHeight="1" x14ac:dyDescent="0.2">
      <c r="GE2564"/>
      <c r="GF2564"/>
      <c r="GG2564"/>
      <c r="GH2564"/>
    </row>
    <row r="2565" spans="187:190" s="1" customFormat="1" ht="18" customHeight="1" x14ac:dyDescent="0.2">
      <c r="GE2565"/>
      <c r="GF2565"/>
      <c r="GG2565"/>
      <c r="GH2565"/>
    </row>
    <row r="2566" spans="187:190" s="1" customFormat="1" ht="18" customHeight="1" x14ac:dyDescent="0.2">
      <c r="GE2566"/>
      <c r="GF2566"/>
      <c r="GG2566"/>
      <c r="GH2566"/>
    </row>
    <row r="2567" spans="187:190" s="1" customFormat="1" ht="18" customHeight="1" x14ac:dyDescent="0.2">
      <c r="GE2567"/>
      <c r="GF2567"/>
      <c r="GG2567"/>
      <c r="GH2567"/>
    </row>
    <row r="2568" spans="187:190" s="1" customFormat="1" ht="18" customHeight="1" x14ac:dyDescent="0.2">
      <c r="GE2568"/>
      <c r="GF2568"/>
      <c r="GG2568"/>
      <c r="GH2568"/>
    </row>
    <row r="2569" spans="187:190" s="1" customFormat="1" ht="18" customHeight="1" x14ac:dyDescent="0.2">
      <c r="GE2569"/>
      <c r="GF2569"/>
      <c r="GG2569"/>
      <c r="GH2569"/>
    </row>
    <row r="2570" spans="187:190" s="1" customFormat="1" ht="18" customHeight="1" x14ac:dyDescent="0.2">
      <c r="GE2570"/>
      <c r="GF2570"/>
      <c r="GG2570"/>
      <c r="GH2570"/>
    </row>
    <row r="2571" spans="187:190" s="1" customFormat="1" ht="18" customHeight="1" x14ac:dyDescent="0.2">
      <c r="GE2571"/>
      <c r="GF2571"/>
      <c r="GG2571"/>
      <c r="GH2571"/>
    </row>
    <row r="2572" spans="187:190" s="1" customFormat="1" ht="18" customHeight="1" x14ac:dyDescent="0.2">
      <c r="GE2572"/>
      <c r="GF2572"/>
      <c r="GG2572"/>
      <c r="GH2572"/>
    </row>
    <row r="2573" spans="187:190" s="1" customFormat="1" ht="18" customHeight="1" x14ac:dyDescent="0.2">
      <c r="GE2573"/>
      <c r="GF2573"/>
      <c r="GG2573"/>
      <c r="GH2573"/>
    </row>
    <row r="2574" spans="187:190" s="1" customFormat="1" ht="18" customHeight="1" x14ac:dyDescent="0.2">
      <c r="GE2574"/>
      <c r="GF2574"/>
      <c r="GG2574"/>
      <c r="GH2574"/>
    </row>
    <row r="2575" spans="187:190" s="1" customFormat="1" ht="18" customHeight="1" x14ac:dyDescent="0.2">
      <c r="GE2575"/>
      <c r="GF2575"/>
      <c r="GG2575"/>
      <c r="GH2575"/>
    </row>
    <row r="2576" spans="187:190" s="1" customFormat="1" ht="18" customHeight="1" x14ac:dyDescent="0.2">
      <c r="GE2576"/>
      <c r="GF2576"/>
      <c r="GG2576"/>
      <c r="GH2576"/>
    </row>
    <row r="2577" spans="187:190" s="1" customFormat="1" ht="18" customHeight="1" x14ac:dyDescent="0.2">
      <c r="GE2577"/>
      <c r="GF2577"/>
      <c r="GG2577"/>
      <c r="GH2577"/>
    </row>
    <row r="2578" spans="187:190" s="1" customFormat="1" ht="18" customHeight="1" x14ac:dyDescent="0.2">
      <c r="GE2578"/>
      <c r="GF2578"/>
      <c r="GG2578"/>
      <c r="GH2578"/>
    </row>
    <row r="2579" spans="187:190" s="1" customFormat="1" ht="18" customHeight="1" x14ac:dyDescent="0.2">
      <c r="GE2579"/>
      <c r="GF2579"/>
      <c r="GG2579"/>
      <c r="GH2579"/>
    </row>
    <row r="2580" spans="187:190" s="1" customFormat="1" ht="18" customHeight="1" x14ac:dyDescent="0.2">
      <c r="GE2580"/>
      <c r="GF2580"/>
      <c r="GG2580"/>
      <c r="GH2580"/>
    </row>
    <row r="2581" spans="187:190" s="1" customFormat="1" ht="18" customHeight="1" x14ac:dyDescent="0.2">
      <c r="GE2581"/>
      <c r="GF2581"/>
      <c r="GG2581"/>
      <c r="GH2581"/>
    </row>
    <row r="2582" spans="187:190" s="1" customFormat="1" ht="18" customHeight="1" x14ac:dyDescent="0.2">
      <c r="GE2582"/>
      <c r="GF2582"/>
      <c r="GG2582"/>
      <c r="GH2582"/>
    </row>
    <row r="2583" spans="187:190" s="1" customFormat="1" ht="18" customHeight="1" x14ac:dyDescent="0.2">
      <c r="GE2583"/>
      <c r="GF2583"/>
      <c r="GG2583"/>
      <c r="GH2583"/>
    </row>
    <row r="2584" spans="187:190" s="1" customFormat="1" ht="18" customHeight="1" x14ac:dyDescent="0.2">
      <c r="GE2584"/>
      <c r="GF2584"/>
      <c r="GG2584"/>
      <c r="GH2584"/>
    </row>
    <row r="2585" spans="187:190" s="1" customFormat="1" ht="18" customHeight="1" x14ac:dyDescent="0.2">
      <c r="GE2585"/>
      <c r="GF2585"/>
      <c r="GG2585"/>
      <c r="GH2585"/>
    </row>
    <row r="2586" spans="187:190" s="1" customFormat="1" ht="18" customHeight="1" x14ac:dyDescent="0.2">
      <c r="GE2586"/>
      <c r="GF2586"/>
      <c r="GG2586"/>
      <c r="GH2586"/>
    </row>
    <row r="2587" spans="187:190" s="1" customFormat="1" ht="18" customHeight="1" x14ac:dyDescent="0.2">
      <c r="GE2587"/>
      <c r="GF2587"/>
      <c r="GG2587"/>
      <c r="GH2587"/>
    </row>
    <row r="2588" spans="187:190" s="1" customFormat="1" ht="18" customHeight="1" x14ac:dyDescent="0.2">
      <c r="GE2588"/>
      <c r="GF2588"/>
      <c r="GG2588"/>
      <c r="GH2588"/>
    </row>
    <row r="2589" spans="187:190" s="1" customFormat="1" ht="18" customHeight="1" x14ac:dyDescent="0.2">
      <c r="GE2589"/>
      <c r="GF2589"/>
      <c r="GG2589"/>
      <c r="GH2589"/>
    </row>
    <row r="2590" spans="187:190" s="1" customFormat="1" ht="18" customHeight="1" x14ac:dyDescent="0.2">
      <c r="GE2590"/>
      <c r="GF2590"/>
      <c r="GG2590"/>
      <c r="GH2590"/>
    </row>
    <row r="2591" spans="187:190" s="1" customFormat="1" ht="18" customHeight="1" x14ac:dyDescent="0.2">
      <c r="GE2591"/>
      <c r="GF2591"/>
      <c r="GG2591"/>
      <c r="GH2591"/>
    </row>
    <row r="2592" spans="187:190" s="1" customFormat="1" ht="18" customHeight="1" x14ac:dyDescent="0.2">
      <c r="GE2592"/>
      <c r="GF2592"/>
      <c r="GG2592"/>
      <c r="GH2592"/>
    </row>
    <row r="2593" spans="187:190" s="1" customFormat="1" ht="18" customHeight="1" x14ac:dyDescent="0.2">
      <c r="GE2593"/>
      <c r="GF2593"/>
      <c r="GG2593"/>
      <c r="GH2593"/>
    </row>
    <row r="2594" spans="187:190" s="1" customFormat="1" ht="18" customHeight="1" x14ac:dyDescent="0.2">
      <c r="GE2594"/>
      <c r="GF2594"/>
      <c r="GG2594"/>
      <c r="GH2594"/>
    </row>
    <row r="2595" spans="187:190" s="1" customFormat="1" ht="18" customHeight="1" x14ac:dyDescent="0.2">
      <c r="GE2595"/>
      <c r="GF2595"/>
      <c r="GG2595"/>
      <c r="GH2595"/>
    </row>
    <row r="2596" spans="187:190" s="1" customFormat="1" ht="18" customHeight="1" x14ac:dyDescent="0.2">
      <c r="GE2596"/>
      <c r="GF2596"/>
      <c r="GG2596"/>
      <c r="GH2596"/>
    </row>
    <row r="2597" spans="187:190" s="1" customFormat="1" ht="18" customHeight="1" x14ac:dyDescent="0.2">
      <c r="GE2597"/>
      <c r="GF2597"/>
      <c r="GG2597"/>
      <c r="GH2597"/>
    </row>
    <row r="2598" spans="187:190" s="1" customFormat="1" ht="18" customHeight="1" x14ac:dyDescent="0.2">
      <c r="GE2598"/>
      <c r="GF2598"/>
      <c r="GG2598"/>
      <c r="GH2598"/>
    </row>
    <row r="2599" spans="187:190" s="1" customFormat="1" ht="18" customHeight="1" x14ac:dyDescent="0.2">
      <c r="GE2599"/>
      <c r="GF2599"/>
      <c r="GG2599"/>
      <c r="GH2599"/>
    </row>
    <row r="2600" spans="187:190" s="1" customFormat="1" ht="18" customHeight="1" x14ac:dyDescent="0.2">
      <c r="GE2600"/>
      <c r="GF2600"/>
      <c r="GG2600"/>
      <c r="GH2600"/>
    </row>
    <row r="2601" spans="187:190" s="1" customFormat="1" ht="18" customHeight="1" x14ac:dyDescent="0.2">
      <c r="GE2601"/>
      <c r="GF2601"/>
      <c r="GG2601"/>
      <c r="GH2601"/>
    </row>
    <row r="2602" spans="187:190" s="1" customFormat="1" ht="18" customHeight="1" x14ac:dyDescent="0.2">
      <c r="GE2602"/>
      <c r="GF2602"/>
      <c r="GG2602"/>
      <c r="GH2602"/>
    </row>
    <row r="2603" spans="187:190" s="1" customFormat="1" ht="18" customHeight="1" x14ac:dyDescent="0.2">
      <c r="GE2603"/>
      <c r="GF2603"/>
      <c r="GG2603"/>
      <c r="GH2603"/>
    </row>
    <row r="2604" spans="187:190" s="1" customFormat="1" ht="18" customHeight="1" x14ac:dyDescent="0.2">
      <c r="GE2604"/>
      <c r="GF2604"/>
      <c r="GG2604"/>
      <c r="GH2604"/>
    </row>
    <row r="2605" spans="187:190" s="1" customFormat="1" ht="18" customHeight="1" x14ac:dyDescent="0.2">
      <c r="GE2605"/>
      <c r="GF2605"/>
      <c r="GG2605"/>
      <c r="GH2605"/>
    </row>
    <row r="2606" spans="187:190" s="1" customFormat="1" ht="18" customHeight="1" x14ac:dyDescent="0.2">
      <c r="GE2606"/>
      <c r="GF2606"/>
      <c r="GG2606"/>
      <c r="GH2606"/>
    </row>
    <row r="2607" spans="187:190" s="1" customFormat="1" ht="18" customHeight="1" x14ac:dyDescent="0.2">
      <c r="GE2607"/>
      <c r="GF2607"/>
      <c r="GG2607"/>
      <c r="GH2607"/>
    </row>
    <row r="2608" spans="187:190" s="1" customFormat="1" ht="18" customHeight="1" x14ac:dyDescent="0.2">
      <c r="GE2608"/>
      <c r="GF2608"/>
      <c r="GG2608"/>
      <c r="GH2608"/>
    </row>
    <row r="2609" spans="187:190" s="1" customFormat="1" ht="18" customHeight="1" x14ac:dyDescent="0.2">
      <c r="GE2609"/>
      <c r="GF2609"/>
      <c r="GG2609"/>
      <c r="GH2609"/>
    </row>
    <row r="2610" spans="187:190" s="1" customFormat="1" ht="18" customHeight="1" x14ac:dyDescent="0.2">
      <c r="GE2610"/>
      <c r="GF2610"/>
      <c r="GG2610"/>
      <c r="GH2610"/>
    </row>
    <row r="2611" spans="187:190" s="1" customFormat="1" ht="18" customHeight="1" x14ac:dyDescent="0.2">
      <c r="GE2611"/>
      <c r="GF2611"/>
      <c r="GG2611"/>
      <c r="GH2611"/>
    </row>
    <row r="2612" spans="187:190" s="1" customFormat="1" ht="18" customHeight="1" x14ac:dyDescent="0.2">
      <c r="GE2612"/>
      <c r="GF2612"/>
      <c r="GG2612"/>
      <c r="GH2612"/>
    </row>
    <row r="2613" spans="187:190" s="1" customFormat="1" ht="18" customHeight="1" x14ac:dyDescent="0.2">
      <c r="GE2613"/>
      <c r="GF2613"/>
      <c r="GG2613"/>
      <c r="GH2613"/>
    </row>
    <row r="2614" spans="187:190" s="1" customFormat="1" ht="18" customHeight="1" x14ac:dyDescent="0.2">
      <c r="GE2614"/>
      <c r="GF2614"/>
      <c r="GG2614"/>
      <c r="GH2614"/>
    </row>
    <row r="2615" spans="187:190" s="1" customFormat="1" ht="18" customHeight="1" x14ac:dyDescent="0.2">
      <c r="GE2615"/>
      <c r="GF2615"/>
      <c r="GG2615"/>
      <c r="GH2615"/>
    </row>
    <row r="2616" spans="187:190" s="1" customFormat="1" ht="18" customHeight="1" x14ac:dyDescent="0.2">
      <c r="GE2616"/>
      <c r="GF2616"/>
      <c r="GG2616"/>
      <c r="GH2616"/>
    </row>
    <row r="2617" spans="187:190" s="1" customFormat="1" ht="18" customHeight="1" x14ac:dyDescent="0.2">
      <c r="GE2617"/>
      <c r="GF2617"/>
      <c r="GG2617"/>
      <c r="GH2617"/>
    </row>
    <row r="2618" spans="187:190" s="1" customFormat="1" ht="18" customHeight="1" x14ac:dyDescent="0.2">
      <c r="GE2618"/>
      <c r="GF2618"/>
      <c r="GG2618"/>
      <c r="GH2618"/>
    </row>
    <row r="2619" spans="187:190" s="1" customFormat="1" ht="18" customHeight="1" x14ac:dyDescent="0.2">
      <c r="GE2619"/>
      <c r="GF2619"/>
      <c r="GG2619"/>
      <c r="GH2619"/>
    </row>
    <row r="2620" spans="187:190" s="1" customFormat="1" ht="18" customHeight="1" x14ac:dyDescent="0.2">
      <c r="GE2620"/>
      <c r="GF2620"/>
      <c r="GG2620"/>
      <c r="GH2620"/>
    </row>
    <row r="2621" spans="187:190" s="1" customFormat="1" ht="18" customHeight="1" x14ac:dyDescent="0.2">
      <c r="GE2621"/>
      <c r="GF2621"/>
      <c r="GG2621"/>
      <c r="GH2621"/>
    </row>
    <row r="2622" spans="187:190" s="1" customFormat="1" ht="18" customHeight="1" x14ac:dyDescent="0.2">
      <c r="GE2622"/>
      <c r="GF2622"/>
      <c r="GG2622"/>
      <c r="GH2622"/>
    </row>
    <row r="2623" spans="187:190" s="1" customFormat="1" ht="18" customHeight="1" x14ac:dyDescent="0.2">
      <c r="GE2623"/>
      <c r="GF2623"/>
      <c r="GG2623"/>
      <c r="GH2623"/>
    </row>
    <row r="2624" spans="187:190" s="1" customFormat="1" ht="18" customHeight="1" x14ac:dyDescent="0.2">
      <c r="GE2624"/>
      <c r="GF2624"/>
      <c r="GG2624"/>
      <c r="GH2624"/>
    </row>
    <row r="2625" spans="187:190" s="1" customFormat="1" ht="18" customHeight="1" x14ac:dyDescent="0.2">
      <c r="GE2625"/>
      <c r="GF2625"/>
      <c r="GG2625"/>
      <c r="GH2625"/>
    </row>
    <row r="2626" spans="187:190" s="1" customFormat="1" ht="18" customHeight="1" x14ac:dyDescent="0.2">
      <c r="GE2626"/>
      <c r="GF2626"/>
      <c r="GG2626"/>
      <c r="GH2626"/>
    </row>
    <row r="2627" spans="187:190" s="1" customFormat="1" ht="18" customHeight="1" x14ac:dyDescent="0.2">
      <c r="GE2627"/>
      <c r="GF2627"/>
      <c r="GG2627"/>
      <c r="GH2627"/>
    </row>
    <row r="2628" spans="187:190" s="1" customFormat="1" ht="18" customHeight="1" x14ac:dyDescent="0.2">
      <c r="GE2628"/>
      <c r="GF2628"/>
      <c r="GG2628"/>
      <c r="GH2628"/>
    </row>
    <row r="2629" spans="187:190" s="1" customFormat="1" ht="18" customHeight="1" x14ac:dyDescent="0.2">
      <c r="GE2629"/>
      <c r="GF2629"/>
      <c r="GG2629"/>
      <c r="GH2629"/>
    </row>
    <row r="2630" spans="187:190" s="1" customFormat="1" ht="18" customHeight="1" x14ac:dyDescent="0.2">
      <c r="GE2630"/>
      <c r="GF2630"/>
      <c r="GG2630"/>
      <c r="GH2630"/>
    </row>
    <row r="2631" spans="187:190" s="1" customFormat="1" ht="18" customHeight="1" x14ac:dyDescent="0.2">
      <c r="GE2631"/>
      <c r="GF2631"/>
      <c r="GG2631"/>
      <c r="GH2631"/>
    </row>
    <row r="2632" spans="187:190" s="1" customFormat="1" ht="18" customHeight="1" x14ac:dyDescent="0.2">
      <c r="GE2632"/>
      <c r="GF2632"/>
      <c r="GG2632"/>
      <c r="GH2632"/>
    </row>
    <row r="2633" spans="187:190" s="1" customFormat="1" ht="18" customHeight="1" x14ac:dyDescent="0.2">
      <c r="GE2633"/>
      <c r="GF2633"/>
      <c r="GG2633"/>
      <c r="GH2633"/>
    </row>
    <row r="2634" spans="187:190" s="1" customFormat="1" ht="18" customHeight="1" x14ac:dyDescent="0.2">
      <c r="GE2634"/>
      <c r="GF2634"/>
      <c r="GG2634"/>
      <c r="GH2634"/>
    </row>
    <row r="2635" spans="187:190" s="1" customFormat="1" ht="18" customHeight="1" x14ac:dyDescent="0.2">
      <c r="GE2635"/>
      <c r="GF2635"/>
      <c r="GG2635"/>
      <c r="GH2635"/>
    </row>
    <row r="2636" spans="187:190" s="1" customFormat="1" ht="18" customHeight="1" x14ac:dyDescent="0.2">
      <c r="GE2636"/>
      <c r="GF2636"/>
      <c r="GG2636"/>
      <c r="GH2636"/>
    </row>
    <row r="2637" spans="187:190" s="1" customFormat="1" ht="18" customHeight="1" x14ac:dyDescent="0.2">
      <c r="GE2637"/>
      <c r="GF2637"/>
      <c r="GG2637"/>
      <c r="GH2637"/>
    </row>
    <row r="2638" spans="187:190" s="1" customFormat="1" ht="18" customHeight="1" x14ac:dyDescent="0.2">
      <c r="GE2638"/>
      <c r="GF2638"/>
      <c r="GG2638"/>
      <c r="GH2638"/>
    </row>
    <row r="2639" spans="187:190" s="1" customFormat="1" ht="18" customHeight="1" x14ac:dyDescent="0.2">
      <c r="GE2639"/>
      <c r="GF2639"/>
      <c r="GG2639"/>
      <c r="GH2639"/>
    </row>
    <row r="2640" spans="187:190" s="1" customFormat="1" ht="18" customHeight="1" x14ac:dyDescent="0.2">
      <c r="GE2640"/>
      <c r="GF2640"/>
      <c r="GG2640"/>
      <c r="GH2640"/>
    </row>
    <row r="2641" spans="187:190" s="1" customFormat="1" ht="18" customHeight="1" x14ac:dyDescent="0.2">
      <c r="GE2641"/>
      <c r="GF2641"/>
      <c r="GG2641"/>
      <c r="GH2641"/>
    </row>
    <row r="2642" spans="187:190" s="1" customFormat="1" ht="18" customHeight="1" x14ac:dyDescent="0.2">
      <c r="GE2642"/>
      <c r="GF2642"/>
      <c r="GG2642"/>
      <c r="GH2642"/>
    </row>
    <row r="2643" spans="187:190" s="1" customFormat="1" ht="18" customHeight="1" x14ac:dyDescent="0.2">
      <c r="GE2643"/>
      <c r="GF2643"/>
      <c r="GG2643"/>
      <c r="GH2643"/>
    </row>
    <row r="2644" spans="187:190" s="1" customFormat="1" ht="18" customHeight="1" x14ac:dyDescent="0.2">
      <c r="GE2644"/>
      <c r="GF2644"/>
      <c r="GG2644"/>
      <c r="GH2644"/>
    </row>
    <row r="2645" spans="187:190" s="1" customFormat="1" ht="18" customHeight="1" x14ac:dyDescent="0.2">
      <c r="GE2645"/>
      <c r="GF2645"/>
      <c r="GG2645"/>
      <c r="GH2645"/>
    </row>
    <row r="2646" spans="187:190" s="1" customFormat="1" ht="18" customHeight="1" x14ac:dyDescent="0.2">
      <c r="GE2646"/>
      <c r="GF2646"/>
      <c r="GG2646"/>
      <c r="GH2646"/>
    </row>
    <row r="2647" spans="187:190" s="1" customFormat="1" ht="18" customHeight="1" x14ac:dyDescent="0.2">
      <c r="GE2647"/>
      <c r="GF2647"/>
      <c r="GG2647"/>
      <c r="GH2647"/>
    </row>
    <row r="2648" spans="187:190" s="1" customFormat="1" ht="18" customHeight="1" x14ac:dyDescent="0.2">
      <c r="GE2648"/>
      <c r="GF2648"/>
      <c r="GG2648"/>
      <c r="GH2648"/>
    </row>
    <row r="2649" spans="187:190" s="1" customFormat="1" ht="18" customHeight="1" x14ac:dyDescent="0.2">
      <c r="GE2649"/>
      <c r="GF2649"/>
      <c r="GG2649"/>
      <c r="GH2649"/>
    </row>
    <row r="2650" spans="187:190" s="1" customFormat="1" ht="18" customHeight="1" x14ac:dyDescent="0.2">
      <c r="GE2650"/>
      <c r="GF2650"/>
      <c r="GG2650"/>
      <c r="GH2650"/>
    </row>
    <row r="2651" spans="187:190" s="1" customFormat="1" ht="18" customHeight="1" x14ac:dyDescent="0.2">
      <c r="GE2651"/>
      <c r="GF2651"/>
      <c r="GG2651"/>
      <c r="GH2651"/>
    </row>
    <row r="2652" spans="187:190" s="1" customFormat="1" ht="18" customHeight="1" x14ac:dyDescent="0.2">
      <c r="GE2652"/>
      <c r="GF2652"/>
      <c r="GG2652"/>
      <c r="GH2652"/>
    </row>
    <row r="2653" spans="187:190" s="1" customFormat="1" ht="18" customHeight="1" x14ac:dyDescent="0.2">
      <c r="GE2653"/>
      <c r="GF2653"/>
      <c r="GG2653"/>
      <c r="GH2653"/>
    </row>
    <row r="2654" spans="187:190" s="1" customFormat="1" ht="18" customHeight="1" x14ac:dyDescent="0.2">
      <c r="GE2654"/>
      <c r="GF2654"/>
      <c r="GG2654"/>
      <c r="GH2654"/>
    </row>
    <row r="2655" spans="187:190" s="1" customFormat="1" ht="18" customHeight="1" x14ac:dyDescent="0.2">
      <c r="GE2655"/>
      <c r="GF2655"/>
      <c r="GG2655"/>
      <c r="GH2655"/>
    </row>
    <row r="2656" spans="187:190" s="1" customFormat="1" ht="18" customHeight="1" x14ac:dyDescent="0.2">
      <c r="GE2656"/>
      <c r="GF2656"/>
      <c r="GG2656"/>
      <c r="GH2656"/>
    </row>
    <row r="2657" spans="187:190" s="1" customFormat="1" ht="18" customHeight="1" x14ac:dyDescent="0.2">
      <c r="GE2657"/>
      <c r="GF2657"/>
      <c r="GG2657"/>
      <c r="GH2657"/>
    </row>
    <row r="2658" spans="187:190" s="1" customFormat="1" ht="18" customHeight="1" x14ac:dyDescent="0.2">
      <c r="GE2658"/>
      <c r="GF2658"/>
      <c r="GG2658"/>
      <c r="GH2658"/>
    </row>
    <row r="2659" spans="187:190" s="1" customFormat="1" ht="18" customHeight="1" x14ac:dyDescent="0.2">
      <c r="GE2659"/>
      <c r="GF2659"/>
      <c r="GG2659"/>
      <c r="GH2659"/>
    </row>
    <row r="2660" spans="187:190" s="1" customFormat="1" ht="18" customHeight="1" x14ac:dyDescent="0.2">
      <c r="GE2660"/>
      <c r="GF2660"/>
      <c r="GG2660"/>
      <c r="GH2660"/>
    </row>
    <row r="2661" spans="187:190" s="1" customFormat="1" ht="18" customHeight="1" x14ac:dyDescent="0.2">
      <c r="GE2661"/>
      <c r="GF2661"/>
      <c r="GG2661"/>
      <c r="GH2661"/>
    </row>
    <row r="2662" spans="187:190" s="1" customFormat="1" ht="18" customHeight="1" x14ac:dyDescent="0.2">
      <c r="GE2662"/>
      <c r="GF2662"/>
      <c r="GG2662"/>
      <c r="GH2662"/>
    </row>
    <row r="2663" spans="187:190" s="1" customFormat="1" ht="18" customHeight="1" x14ac:dyDescent="0.2">
      <c r="GE2663"/>
      <c r="GF2663"/>
      <c r="GG2663"/>
      <c r="GH2663"/>
    </row>
    <row r="2664" spans="187:190" s="1" customFormat="1" ht="18" customHeight="1" x14ac:dyDescent="0.2">
      <c r="GE2664"/>
      <c r="GF2664"/>
      <c r="GG2664"/>
      <c r="GH2664"/>
    </row>
    <row r="2665" spans="187:190" s="1" customFormat="1" ht="18" customHeight="1" x14ac:dyDescent="0.2">
      <c r="GE2665"/>
      <c r="GF2665"/>
      <c r="GG2665"/>
      <c r="GH2665"/>
    </row>
    <row r="2666" spans="187:190" s="1" customFormat="1" ht="18" customHeight="1" x14ac:dyDescent="0.2">
      <c r="GE2666"/>
      <c r="GF2666"/>
      <c r="GG2666"/>
      <c r="GH2666"/>
    </row>
    <row r="2667" spans="187:190" s="1" customFormat="1" ht="18" customHeight="1" x14ac:dyDescent="0.2">
      <c r="GE2667"/>
      <c r="GF2667"/>
      <c r="GG2667"/>
      <c r="GH2667"/>
    </row>
    <row r="2668" spans="187:190" s="1" customFormat="1" ht="18" customHeight="1" x14ac:dyDescent="0.2">
      <c r="GE2668"/>
      <c r="GF2668"/>
      <c r="GG2668"/>
      <c r="GH2668"/>
    </row>
    <row r="2669" spans="187:190" s="1" customFormat="1" ht="18" customHeight="1" x14ac:dyDescent="0.2">
      <c r="GE2669"/>
      <c r="GF2669"/>
      <c r="GG2669"/>
      <c r="GH2669"/>
    </row>
    <row r="2670" spans="187:190" s="1" customFormat="1" ht="18" customHeight="1" x14ac:dyDescent="0.2">
      <c r="GE2670"/>
      <c r="GF2670"/>
      <c r="GG2670"/>
      <c r="GH2670"/>
    </row>
    <row r="2671" spans="187:190" s="1" customFormat="1" ht="18" customHeight="1" x14ac:dyDescent="0.2">
      <c r="GE2671"/>
      <c r="GF2671"/>
      <c r="GG2671"/>
      <c r="GH2671"/>
    </row>
    <row r="2672" spans="187:190" s="1" customFormat="1" ht="18" customHeight="1" x14ac:dyDescent="0.2">
      <c r="GE2672"/>
      <c r="GF2672"/>
      <c r="GG2672"/>
      <c r="GH2672"/>
    </row>
    <row r="2673" spans="187:190" s="1" customFormat="1" ht="18" customHeight="1" x14ac:dyDescent="0.2">
      <c r="GE2673"/>
      <c r="GF2673"/>
      <c r="GG2673"/>
      <c r="GH2673"/>
    </row>
    <row r="2674" spans="187:190" s="1" customFormat="1" ht="18" customHeight="1" x14ac:dyDescent="0.2">
      <c r="GE2674"/>
      <c r="GF2674"/>
      <c r="GG2674"/>
      <c r="GH2674"/>
    </row>
    <row r="2675" spans="187:190" s="1" customFormat="1" ht="18" customHeight="1" x14ac:dyDescent="0.2">
      <c r="GE2675"/>
      <c r="GF2675"/>
      <c r="GG2675"/>
      <c r="GH2675"/>
    </row>
    <row r="2676" spans="187:190" s="1" customFormat="1" ht="18" customHeight="1" x14ac:dyDescent="0.2">
      <c r="GE2676"/>
      <c r="GF2676"/>
      <c r="GG2676"/>
      <c r="GH2676"/>
    </row>
    <row r="2677" spans="187:190" s="1" customFormat="1" ht="18" customHeight="1" x14ac:dyDescent="0.2">
      <c r="GE2677"/>
      <c r="GF2677"/>
      <c r="GG2677"/>
      <c r="GH2677"/>
    </row>
    <row r="2678" spans="187:190" s="1" customFormat="1" ht="18" customHeight="1" x14ac:dyDescent="0.2">
      <c r="GE2678"/>
      <c r="GF2678"/>
      <c r="GG2678"/>
      <c r="GH2678"/>
    </row>
    <row r="2679" spans="187:190" s="1" customFormat="1" ht="18" customHeight="1" x14ac:dyDescent="0.2">
      <c r="GE2679"/>
      <c r="GF2679"/>
      <c r="GG2679"/>
      <c r="GH2679"/>
    </row>
    <row r="2680" spans="187:190" s="1" customFormat="1" ht="18" customHeight="1" x14ac:dyDescent="0.2">
      <c r="GE2680"/>
      <c r="GF2680"/>
      <c r="GG2680"/>
      <c r="GH2680"/>
    </row>
    <row r="2681" spans="187:190" s="1" customFormat="1" ht="18" customHeight="1" x14ac:dyDescent="0.2">
      <c r="GE2681"/>
      <c r="GF2681"/>
      <c r="GG2681"/>
      <c r="GH2681"/>
    </row>
    <row r="2682" spans="187:190" s="1" customFormat="1" ht="18" customHeight="1" x14ac:dyDescent="0.2">
      <c r="GE2682"/>
      <c r="GF2682"/>
      <c r="GG2682"/>
      <c r="GH2682"/>
    </row>
    <row r="2683" spans="187:190" s="1" customFormat="1" ht="18" customHeight="1" x14ac:dyDescent="0.2">
      <c r="GE2683"/>
      <c r="GF2683"/>
      <c r="GG2683"/>
      <c r="GH2683"/>
    </row>
    <row r="2684" spans="187:190" s="1" customFormat="1" ht="18" customHeight="1" x14ac:dyDescent="0.2">
      <c r="GE2684"/>
      <c r="GF2684"/>
      <c r="GG2684"/>
      <c r="GH2684"/>
    </row>
    <row r="2685" spans="187:190" s="1" customFormat="1" ht="18" customHeight="1" x14ac:dyDescent="0.2">
      <c r="GE2685"/>
      <c r="GF2685"/>
      <c r="GG2685"/>
      <c r="GH2685"/>
    </row>
    <row r="2686" spans="187:190" s="1" customFormat="1" ht="18" customHeight="1" x14ac:dyDescent="0.2">
      <c r="GE2686"/>
      <c r="GF2686"/>
      <c r="GG2686"/>
      <c r="GH2686"/>
    </row>
    <row r="2687" spans="187:190" s="1" customFormat="1" ht="18" customHeight="1" x14ac:dyDescent="0.2">
      <c r="GE2687"/>
      <c r="GF2687"/>
      <c r="GG2687"/>
      <c r="GH2687"/>
    </row>
    <row r="2688" spans="187:190" s="1" customFormat="1" ht="18" customHeight="1" x14ac:dyDescent="0.2">
      <c r="GE2688"/>
      <c r="GF2688"/>
      <c r="GG2688"/>
      <c r="GH2688"/>
    </row>
    <row r="2689" spans="187:190" s="1" customFormat="1" ht="18" customHeight="1" x14ac:dyDescent="0.2">
      <c r="GE2689"/>
      <c r="GF2689"/>
      <c r="GG2689"/>
      <c r="GH2689"/>
    </row>
    <row r="2690" spans="187:190" s="1" customFormat="1" ht="18" customHeight="1" x14ac:dyDescent="0.2">
      <c r="GE2690"/>
      <c r="GF2690"/>
      <c r="GG2690"/>
      <c r="GH2690"/>
    </row>
    <row r="2691" spans="187:190" s="1" customFormat="1" ht="18" customHeight="1" x14ac:dyDescent="0.2">
      <c r="GE2691"/>
      <c r="GF2691"/>
      <c r="GG2691"/>
      <c r="GH2691"/>
    </row>
    <row r="2692" spans="187:190" s="1" customFormat="1" ht="18" customHeight="1" x14ac:dyDescent="0.2">
      <c r="GE2692"/>
      <c r="GF2692"/>
      <c r="GG2692"/>
      <c r="GH2692"/>
    </row>
    <row r="2693" spans="187:190" s="1" customFormat="1" ht="18" customHeight="1" x14ac:dyDescent="0.2">
      <c r="GE2693"/>
      <c r="GF2693"/>
      <c r="GG2693"/>
      <c r="GH2693"/>
    </row>
    <row r="2694" spans="187:190" s="1" customFormat="1" ht="18" customHeight="1" x14ac:dyDescent="0.2">
      <c r="GE2694"/>
      <c r="GF2694"/>
      <c r="GG2694"/>
      <c r="GH2694"/>
    </row>
    <row r="2695" spans="187:190" s="1" customFormat="1" ht="18" customHeight="1" x14ac:dyDescent="0.2">
      <c r="GE2695"/>
      <c r="GF2695"/>
      <c r="GG2695"/>
      <c r="GH2695"/>
    </row>
    <row r="2696" spans="187:190" s="1" customFormat="1" ht="18" customHeight="1" x14ac:dyDescent="0.2">
      <c r="GE2696"/>
      <c r="GF2696"/>
      <c r="GG2696"/>
      <c r="GH2696"/>
    </row>
    <row r="2697" spans="187:190" s="1" customFormat="1" ht="18" customHeight="1" x14ac:dyDescent="0.2">
      <c r="GE2697"/>
      <c r="GF2697"/>
      <c r="GG2697"/>
      <c r="GH2697"/>
    </row>
    <row r="2698" spans="187:190" s="1" customFormat="1" ht="18" customHeight="1" x14ac:dyDescent="0.2">
      <c r="GE2698"/>
      <c r="GF2698"/>
      <c r="GG2698"/>
      <c r="GH2698"/>
    </row>
    <row r="2699" spans="187:190" s="1" customFormat="1" ht="18" customHeight="1" x14ac:dyDescent="0.2">
      <c r="GE2699"/>
      <c r="GF2699"/>
      <c r="GG2699"/>
      <c r="GH2699"/>
    </row>
    <row r="2700" spans="187:190" s="1" customFormat="1" ht="18" customHeight="1" x14ac:dyDescent="0.2">
      <c r="GE2700"/>
      <c r="GF2700"/>
      <c r="GG2700"/>
      <c r="GH2700"/>
    </row>
    <row r="2701" spans="187:190" s="1" customFormat="1" ht="18" customHeight="1" x14ac:dyDescent="0.2">
      <c r="GE2701"/>
      <c r="GF2701"/>
      <c r="GG2701"/>
      <c r="GH2701"/>
    </row>
    <row r="2702" spans="187:190" s="1" customFormat="1" ht="18" customHeight="1" x14ac:dyDescent="0.2">
      <c r="GE2702"/>
      <c r="GF2702"/>
      <c r="GG2702"/>
      <c r="GH2702"/>
    </row>
    <row r="2703" spans="187:190" s="1" customFormat="1" ht="18" customHeight="1" x14ac:dyDescent="0.2">
      <c r="GE2703"/>
      <c r="GF2703"/>
      <c r="GG2703"/>
      <c r="GH2703"/>
    </row>
    <row r="2704" spans="187:190" s="1" customFormat="1" ht="18" customHeight="1" x14ac:dyDescent="0.2">
      <c r="GE2704"/>
      <c r="GF2704"/>
      <c r="GG2704"/>
      <c r="GH2704"/>
    </row>
    <row r="2705" spans="187:190" s="1" customFormat="1" ht="18" customHeight="1" x14ac:dyDescent="0.2">
      <c r="GE2705"/>
      <c r="GF2705"/>
      <c r="GG2705"/>
      <c r="GH2705"/>
    </row>
    <row r="2706" spans="187:190" s="1" customFormat="1" ht="18" customHeight="1" x14ac:dyDescent="0.2">
      <c r="GE2706"/>
      <c r="GF2706"/>
      <c r="GG2706"/>
      <c r="GH2706"/>
    </row>
    <row r="2707" spans="187:190" s="1" customFormat="1" ht="18" customHeight="1" x14ac:dyDescent="0.2">
      <c r="GE2707"/>
      <c r="GF2707"/>
      <c r="GG2707"/>
      <c r="GH2707"/>
    </row>
    <row r="2708" spans="187:190" s="1" customFormat="1" ht="18" customHeight="1" x14ac:dyDescent="0.2">
      <c r="GE2708"/>
      <c r="GF2708"/>
      <c r="GG2708"/>
      <c r="GH2708"/>
    </row>
    <row r="2709" spans="187:190" s="1" customFormat="1" ht="18" customHeight="1" x14ac:dyDescent="0.2">
      <c r="GE2709"/>
      <c r="GF2709"/>
      <c r="GG2709"/>
      <c r="GH2709"/>
    </row>
    <row r="2710" spans="187:190" s="1" customFormat="1" ht="18" customHeight="1" x14ac:dyDescent="0.2">
      <c r="GE2710"/>
      <c r="GF2710"/>
      <c r="GG2710"/>
      <c r="GH2710"/>
    </row>
    <row r="2711" spans="187:190" s="1" customFormat="1" ht="18" customHeight="1" x14ac:dyDescent="0.2">
      <c r="GE2711"/>
      <c r="GF2711"/>
      <c r="GG2711"/>
      <c r="GH2711"/>
    </row>
    <row r="2712" spans="187:190" s="1" customFormat="1" ht="18" customHeight="1" x14ac:dyDescent="0.2">
      <c r="GE2712"/>
      <c r="GF2712"/>
      <c r="GG2712"/>
      <c r="GH2712"/>
    </row>
    <row r="2713" spans="187:190" s="1" customFormat="1" ht="18" customHeight="1" x14ac:dyDescent="0.2">
      <c r="GE2713"/>
      <c r="GF2713"/>
      <c r="GG2713"/>
      <c r="GH2713"/>
    </row>
    <row r="2714" spans="187:190" s="1" customFormat="1" ht="18" customHeight="1" x14ac:dyDescent="0.2">
      <c r="GE2714"/>
      <c r="GF2714"/>
      <c r="GG2714"/>
      <c r="GH2714"/>
    </row>
    <row r="2715" spans="187:190" s="1" customFormat="1" ht="18" customHeight="1" x14ac:dyDescent="0.2">
      <c r="GE2715"/>
      <c r="GF2715"/>
      <c r="GG2715"/>
      <c r="GH2715"/>
    </row>
    <row r="2716" spans="187:190" s="1" customFormat="1" ht="18" customHeight="1" x14ac:dyDescent="0.2">
      <c r="GE2716"/>
      <c r="GF2716"/>
      <c r="GG2716"/>
      <c r="GH2716"/>
    </row>
    <row r="2717" spans="187:190" s="1" customFormat="1" ht="18" customHeight="1" x14ac:dyDescent="0.2">
      <c r="GE2717"/>
      <c r="GF2717"/>
      <c r="GG2717"/>
      <c r="GH2717"/>
    </row>
    <row r="2718" spans="187:190" s="1" customFormat="1" ht="18" customHeight="1" x14ac:dyDescent="0.2">
      <c r="GE2718"/>
      <c r="GF2718"/>
      <c r="GG2718"/>
      <c r="GH2718"/>
    </row>
    <row r="2719" spans="187:190" s="1" customFormat="1" ht="18" customHeight="1" x14ac:dyDescent="0.2">
      <c r="GE2719"/>
      <c r="GF2719"/>
      <c r="GG2719"/>
      <c r="GH2719"/>
    </row>
    <row r="2720" spans="187:190" s="1" customFormat="1" ht="18" customHeight="1" x14ac:dyDescent="0.2">
      <c r="GE2720"/>
      <c r="GF2720"/>
      <c r="GG2720"/>
      <c r="GH2720"/>
    </row>
    <row r="2721" spans="187:190" s="1" customFormat="1" ht="18" customHeight="1" x14ac:dyDescent="0.2">
      <c r="GE2721"/>
      <c r="GF2721"/>
      <c r="GG2721"/>
      <c r="GH2721"/>
    </row>
    <row r="2722" spans="187:190" s="1" customFormat="1" ht="18" customHeight="1" x14ac:dyDescent="0.2">
      <c r="GE2722"/>
      <c r="GF2722"/>
      <c r="GG2722"/>
      <c r="GH2722"/>
    </row>
    <row r="2723" spans="187:190" s="1" customFormat="1" ht="18" customHeight="1" x14ac:dyDescent="0.2">
      <c r="GE2723"/>
      <c r="GF2723"/>
      <c r="GG2723"/>
      <c r="GH2723"/>
    </row>
    <row r="2724" spans="187:190" s="1" customFormat="1" ht="18" customHeight="1" x14ac:dyDescent="0.2">
      <c r="GE2724"/>
      <c r="GF2724"/>
      <c r="GG2724"/>
      <c r="GH2724"/>
    </row>
    <row r="2725" spans="187:190" s="1" customFormat="1" ht="18" customHeight="1" x14ac:dyDescent="0.2">
      <c r="GE2725"/>
      <c r="GF2725"/>
      <c r="GG2725"/>
      <c r="GH2725"/>
    </row>
    <row r="2726" spans="187:190" s="1" customFormat="1" ht="18" customHeight="1" x14ac:dyDescent="0.2">
      <c r="GE2726"/>
      <c r="GF2726"/>
      <c r="GG2726"/>
      <c r="GH2726"/>
    </row>
    <row r="2727" spans="187:190" s="1" customFormat="1" ht="18" customHeight="1" x14ac:dyDescent="0.2">
      <c r="GE2727"/>
      <c r="GF2727"/>
      <c r="GG2727"/>
      <c r="GH2727"/>
    </row>
    <row r="2728" spans="187:190" s="1" customFormat="1" ht="18" customHeight="1" x14ac:dyDescent="0.2">
      <c r="GE2728"/>
      <c r="GF2728"/>
      <c r="GG2728"/>
      <c r="GH2728"/>
    </row>
    <row r="2729" spans="187:190" s="1" customFormat="1" ht="18" customHeight="1" x14ac:dyDescent="0.2">
      <c r="GE2729"/>
      <c r="GF2729"/>
      <c r="GG2729"/>
      <c r="GH2729"/>
    </row>
    <row r="2730" spans="187:190" s="1" customFormat="1" ht="18" customHeight="1" x14ac:dyDescent="0.2">
      <c r="GE2730"/>
      <c r="GF2730"/>
      <c r="GG2730"/>
      <c r="GH2730"/>
    </row>
    <row r="2731" spans="187:190" s="1" customFormat="1" ht="18" customHeight="1" x14ac:dyDescent="0.2">
      <c r="GE2731"/>
      <c r="GF2731"/>
      <c r="GG2731"/>
      <c r="GH2731"/>
    </row>
    <row r="2732" spans="187:190" s="1" customFormat="1" ht="18" customHeight="1" x14ac:dyDescent="0.2">
      <c r="GE2732"/>
      <c r="GF2732"/>
      <c r="GG2732"/>
      <c r="GH2732"/>
    </row>
    <row r="2733" spans="187:190" s="1" customFormat="1" ht="18" customHeight="1" x14ac:dyDescent="0.2">
      <c r="GE2733"/>
      <c r="GF2733"/>
      <c r="GG2733"/>
      <c r="GH2733"/>
    </row>
    <row r="2734" spans="187:190" s="1" customFormat="1" ht="18" customHeight="1" x14ac:dyDescent="0.2">
      <c r="GE2734"/>
      <c r="GF2734"/>
      <c r="GG2734"/>
      <c r="GH2734"/>
    </row>
    <row r="2735" spans="187:190" s="1" customFormat="1" ht="18" customHeight="1" x14ac:dyDescent="0.2">
      <c r="GE2735"/>
      <c r="GF2735"/>
      <c r="GG2735"/>
      <c r="GH2735"/>
    </row>
    <row r="2736" spans="187:190" s="1" customFormat="1" ht="18" customHeight="1" x14ac:dyDescent="0.2">
      <c r="GE2736"/>
      <c r="GF2736"/>
      <c r="GG2736"/>
      <c r="GH2736"/>
    </row>
    <row r="2737" spans="187:190" s="1" customFormat="1" ht="18" customHeight="1" x14ac:dyDescent="0.2">
      <c r="GE2737"/>
      <c r="GF2737"/>
      <c r="GG2737"/>
      <c r="GH2737"/>
    </row>
    <row r="2738" spans="187:190" s="1" customFormat="1" ht="18" customHeight="1" x14ac:dyDescent="0.2">
      <c r="GE2738"/>
      <c r="GF2738"/>
      <c r="GG2738"/>
      <c r="GH2738"/>
    </row>
    <row r="2739" spans="187:190" s="1" customFormat="1" ht="18" customHeight="1" x14ac:dyDescent="0.2">
      <c r="GE2739"/>
      <c r="GF2739"/>
      <c r="GG2739"/>
      <c r="GH2739"/>
    </row>
    <row r="2740" spans="187:190" s="1" customFormat="1" ht="18" customHeight="1" x14ac:dyDescent="0.2">
      <c r="GE2740"/>
      <c r="GF2740"/>
      <c r="GG2740"/>
      <c r="GH2740"/>
    </row>
    <row r="2741" spans="187:190" s="1" customFormat="1" ht="18" customHeight="1" x14ac:dyDescent="0.2">
      <c r="GE2741"/>
      <c r="GF2741"/>
      <c r="GG2741"/>
      <c r="GH2741"/>
    </row>
    <row r="2742" spans="187:190" s="1" customFormat="1" ht="18" customHeight="1" x14ac:dyDescent="0.2">
      <c r="GE2742"/>
      <c r="GF2742"/>
      <c r="GG2742"/>
      <c r="GH2742"/>
    </row>
    <row r="2743" spans="187:190" s="1" customFormat="1" ht="18" customHeight="1" x14ac:dyDescent="0.2">
      <c r="GE2743"/>
      <c r="GF2743"/>
      <c r="GG2743"/>
      <c r="GH2743"/>
    </row>
    <row r="2744" spans="187:190" s="1" customFormat="1" ht="18" customHeight="1" x14ac:dyDescent="0.2">
      <c r="GE2744"/>
      <c r="GF2744"/>
      <c r="GG2744"/>
      <c r="GH2744"/>
    </row>
    <row r="2745" spans="187:190" s="1" customFormat="1" ht="18" customHeight="1" x14ac:dyDescent="0.2">
      <c r="GE2745"/>
      <c r="GF2745"/>
      <c r="GG2745"/>
      <c r="GH2745"/>
    </row>
    <row r="2746" spans="187:190" s="1" customFormat="1" ht="18" customHeight="1" x14ac:dyDescent="0.2">
      <c r="GE2746"/>
      <c r="GF2746"/>
      <c r="GG2746"/>
      <c r="GH2746"/>
    </row>
    <row r="2747" spans="187:190" s="1" customFormat="1" ht="18" customHeight="1" x14ac:dyDescent="0.2">
      <c r="GE2747"/>
      <c r="GF2747"/>
      <c r="GG2747"/>
      <c r="GH2747"/>
    </row>
    <row r="2748" spans="187:190" s="1" customFormat="1" ht="18" customHeight="1" x14ac:dyDescent="0.2">
      <c r="GE2748"/>
      <c r="GF2748"/>
      <c r="GG2748"/>
      <c r="GH2748"/>
    </row>
    <row r="2749" spans="187:190" s="1" customFormat="1" ht="18" customHeight="1" x14ac:dyDescent="0.2">
      <c r="GE2749"/>
      <c r="GF2749"/>
      <c r="GG2749"/>
      <c r="GH2749"/>
    </row>
    <row r="2750" spans="187:190" s="1" customFormat="1" ht="18" customHeight="1" x14ac:dyDescent="0.2">
      <c r="GE2750"/>
      <c r="GF2750"/>
      <c r="GG2750"/>
      <c r="GH2750"/>
    </row>
    <row r="2751" spans="187:190" s="1" customFormat="1" ht="18" customHeight="1" x14ac:dyDescent="0.2">
      <c r="GE2751"/>
      <c r="GF2751"/>
      <c r="GG2751"/>
      <c r="GH2751"/>
    </row>
    <row r="2752" spans="187:190" s="1" customFormat="1" ht="18" customHeight="1" x14ac:dyDescent="0.2">
      <c r="GE2752"/>
      <c r="GF2752"/>
      <c r="GG2752"/>
      <c r="GH2752"/>
    </row>
    <row r="2753" spans="187:190" s="1" customFormat="1" ht="18" customHeight="1" x14ac:dyDescent="0.2">
      <c r="GE2753"/>
      <c r="GF2753"/>
      <c r="GG2753"/>
      <c r="GH2753"/>
    </row>
    <row r="2754" spans="187:190" s="1" customFormat="1" ht="18" customHeight="1" x14ac:dyDescent="0.2">
      <c r="GE2754"/>
      <c r="GF2754"/>
      <c r="GG2754"/>
      <c r="GH2754"/>
    </row>
    <row r="2755" spans="187:190" s="1" customFormat="1" ht="18" customHeight="1" x14ac:dyDescent="0.2">
      <c r="GE2755"/>
      <c r="GF2755"/>
      <c r="GG2755"/>
      <c r="GH2755"/>
    </row>
    <row r="2756" spans="187:190" s="1" customFormat="1" ht="18" customHeight="1" x14ac:dyDescent="0.2">
      <c r="GE2756"/>
      <c r="GF2756"/>
      <c r="GG2756"/>
      <c r="GH2756"/>
    </row>
    <row r="2757" spans="187:190" s="1" customFormat="1" ht="18" customHeight="1" x14ac:dyDescent="0.2">
      <c r="GE2757"/>
      <c r="GF2757"/>
      <c r="GG2757"/>
      <c r="GH2757"/>
    </row>
    <row r="2758" spans="187:190" s="1" customFormat="1" ht="18" customHeight="1" x14ac:dyDescent="0.2">
      <c r="GE2758"/>
      <c r="GF2758"/>
      <c r="GG2758"/>
      <c r="GH2758"/>
    </row>
    <row r="2759" spans="187:190" s="1" customFormat="1" ht="18" customHeight="1" x14ac:dyDescent="0.2">
      <c r="GE2759"/>
      <c r="GF2759"/>
      <c r="GG2759"/>
      <c r="GH2759"/>
    </row>
    <row r="2760" spans="187:190" s="1" customFormat="1" ht="18" customHeight="1" x14ac:dyDescent="0.2">
      <c r="GE2760"/>
      <c r="GF2760"/>
      <c r="GG2760"/>
      <c r="GH2760"/>
    </row>
    <row r="2761" spans="187:190" s="1" customFormat="1" ht="18" customHeight="1" x14ac:dyDescent="0.2">
      <c r="GE2761"/>
      <c r="GF2761"/>
      <c r="GG2761"/>
      <c r="GH2761"/>
    </row>
    <row r="2762" spans="187:190" s="1" customFormat="1" ht="18" customHeight="1" x14ac:dyDescent="0.2">
      <c r="GE2762"/>
      <c r="GF2762"/>
      <c r="GG2762"/>
      <c r="GH2762"/>
    </row>
    <row r="2763" spans="187:190" s="1" customFormat="1" ht="18" customHeight="1" x14ac:dyDescent="0.2">
      <c r="GE2763"/>
      <c r="GF2763"/>
      <c r="GG2763"/>
      <c r="GH2763"/>
    </row>
    <row r="2764" spans="187:190" s="1" customFormat="1" ht="18" customHeight="1" x14ac:dyDescent="0.2">
      <c r="GE2764"/>
      <c r="GF2764"/>
      <c r="GG2764"/>
      <c r="GH2764"/>
    </row>
    <row r="2765" spans="187:190" s="1" customFormat="1" ht="18" customHeight="1" x14ac:dyDescent="0.2">
      <c r="GE2765"/>
      <c r="GF2765"/>
      <c r="GG2765"/>
      <c r="GH2765"/>
    </row>
    <row r="2766" spans="187:190" s="1" customFormat="1" ht="18" customHeight="1" x14ac:dyDescent="0.2">
      <c r="GE2766"/>
      <c r="GF2766"/>
      <c r="GG2766"/>
      <c r="GH2766"/>
    </row>
    <row r="2767" spans="187:190" s="1" customFormat="1" ht="18" customHeight="1" x14ac:dyDescent="0.2">
      <c r="GE2767"/>
      <c r="GF2767"/>
      <c r="GG2767"/>
      <c r="GH2767"/>
    </row>
    <row r="2768" spans="187:190" s="1" customFormat="1" ht="18" customHeight="1" x14ac:dyDescent="0.2">
      <c r="GE2768"/>
      <c r="GF2768"/>
      <c r="GG2768"/>
      <c r="GH2768"/>
    </row>
    <row r="2769" spans="187:190" s="1" customFormat="1" ht="18" customHeight="1" x14ac:dyDescent="0.2">
      <c r="GE2769"/>
      <c r="GF2769"/>
      <c r="GG2769"/>
      <c r="GH2769"/>
    </row>
    <row r="2770" spans="187:190" s="1" customFormat="1" ht="18" customHeight="1" x14ac:dyDescent="0.2">
      <c r="GE2770"/>
      <c r="GF2770"/>
      <c r="GG2770"/>
      <c r="GH2770"/>
    </row>
    <row r="2771" spans="187:190" s="1" customFormat="1" ht="18" customHeight="1" x14ac:dyDescent="0.2">
      <c r="GE2771"/>
      <c r="GF2771"/>
      <c r="GG2771"/>
      <c r="GH2771"/>
    </row>
    <row r="2772" spans="187:190" s="1" customFormat="1" ht="18" customHeight="1" x14ac:dyDescent="0.2">
      <c r="GE2772"/>
      <c r="GF2772"/>
      <c r="GG2772"/>
      <c r="GH2772"/>
    </row>
    <row r="2773" spans="187:190" s="1" customFormat="1" ht="18" customHeight="1" x14ac:dyDescent="0.2">
      <c r="GE2773"/>
      <c r="GF2773"/>
      <c r="GG2773"/>
      <c r="GH2773"/>
    </row>
    <row r="2774" spans="187:190" s="1" customFormat="1" ht="18" customHeight="1" x14ac:dyDescent="0.2">
      <c r="GE2774"/>
      <c r="GF2774"/>
      <c r="GG2774"/>
      <c r="GH2774"/>
    </row>
    <row r="2775" spans="187:190" s="1" customFormat="1" ht="18" customHeight="1" x14ac:dyDescent="0.2">
      <c r="GE2775"/>
      <c r="GF2775"/>
      <c r="GG2775"/>
      <c r="GH2775"/>
    </row>
    <row r="2776" spans="187:190" s="1" customFormat="1" ht="18" customHeight="1" x14ac:dyDescent="0.2">
      <c r="GE2776"/>
      <c r="GF2776"/>
      <c r="GG2776"/>
      <c r="GH2776"/>
    </row>
    <row r="2777" spans="187:190" s="1" customFormat="1" ht="18" customHeight="1" x14ac:dyDescent="0.2">
      <c r="GE2777"/>
      <c r="GF2777"/>
      <c r="GG2777"/>
      <c r="GH2777"/>
    </row>
    <row r="2778" spans="187:190" s="1" customFormat="1" ht="18" customHeight="1" x14ac:dyDescent="0.2">
      <c r="GE2778"/>
      <c r="GF2778"/>
      <c r="GG2778"/>
      <c r="GH2778"/>
    </row>
    <row r="2779" spans="187:190" s="1" customFormat="1" ht="18" customHeight="1" x14ac:dyDescent="0.2">
      <c r="GE2779"/>
      <c r="GF2779"/>
      <c r="GG2779"/>
      <c r="GH2779"/>
    </row>
    <row r="2780" spans="187:190" s="1" customFormat="1" ht="18" customHeight="1" x14ac:dyDescent="0.2">
      <c r="GE2780"/>
      <c r="GF2780"/>
      <c r="GG2780"/>
      <c r="GH2780"/>
    </row>
    <row r="2781" spans="187:190" s="1" customFormat="1" ht="18" customHeight="1" x14ac:dyDescent="0.2">
      <c r="GE2781"/>
      <c r="GF2781"/>
      <c r="GG2781"/>
      <c r="GH2781"/>
    </row>
    <row r="2782" spans="187:190" s="1" customFormat="1" ht="18" customHeight="1" x14ac:dyDescent="0.2">
      <c r="GE2782"/>
      <c r="GF2782"/>
      <c r="GG2782"/>
      <c r="GH2782"/>
    </row>
    <row r="2783" spans="187:190" s="1" customFormat="1" ht="18" customHeight="1" x14ac:dyDescent="0.2">
      <c r="GE2783"/>
      <c r="GF2783"/>
      <c r="GG2783"/>
      <c r="GH2783"/>
    </row>
    <row r="2784" spans="187:190" s="1" customFormat="1" ht="18" customHeight="1" x14ac:dyDescent="0.2">
      <c r="GE2784"/>
      <c r="GF2784"/>
      <c r="GG2784"/>
      <c r="GH2784"/>
    </row>
    <row r="2785" spans="187:190" s="1" customFormat="1" ht="18" customHeight="1" x14ac:dyDescent="0.2">
      <c r="GE2785"/>
      <c r="GF2785"/>
      <c r="GG2785"/>
      <c r="GH2785"/>
    </row>
    <row r="2786" spans="187:190" s="1" customFormat="1" ht="18" customHeight="1" x14ac:dyDescent="0.2">
      <c r="GE2786"/>
      <c r="GF2786"/>
      <c r="GG2786"/>
      <c r="GH2786"/>
    </row>
    <row r="2787" spans="187:190" s="1" customFormat="1" ht="18" customHeight="1" x14ac:dyDescent="0.2">
      <c r="GE2787"/>
      <c r="GF2787"/>
      <c r="GG2787"/>
      <c r="GH2787"/>
    </row>
    <row r="2788" spans="187:190" s="1" customFormat="1" ht="18" customHeight="1" x14ac:dyDescent="0.2">
      <c r="GE2788"/>
      <c r="GF2788"/>
      <c r="GG2788"/>
      <c r="GH2788"/>
    </row>
    <row r="2789" spans="187:190" s="1" customFormat="1" ht="18" customHeight="1" x14ac:dyDescent="0.2">
      <c r="GE2789"/>
      <c r="GF2789"/>
      <c r="GG2789"/>
      <c r="GH2789"/>
    </row>
    <row r="2790" spans="187:190" s="1" customFormat="1" ht="18" customHeight="1" x14ac:dyDescent="0.2">
      <c r="GE2790"/>
      <c r="GF2790"/>
      <c r="GG2790"/>
      <c r="GH2790"/>
    </row>
    <row r="2791" spans="187:190" s="1" customFormat="1" ht="18" customHeight="1" x14ac:dyDescent="0.2">
      <c r="GE2791"/>
      <c r="GF2791"/>
      <c r="GG2791"/>
      <c r="GH2791"/>
    </row>
    <row r="2792" spans="187:190" s="1" customFormat="1" ht="18" customHeight="1" x14ac:dyDescent="0.2">
      <c r="GE2792"/>
      <c r="GF2792"/>
      <c r="GG2792"/>
      <c r="GH2792"/>
    </row>
    <row r="2793" spans="187:190" s="1" customFormat="1" ht="18" customHeight="1" x14ac:dyDescent="0.2">
      <c r="GE2793"/>
      <c r="GF2793"/>
      <c r="GG2793"/>
      <c r="GH2793"/>
    </row>
    <row r="2794" spans="187:190" s="1" customFormat="1" ht="18" customHeight="1" x14ac:dyDescent="0.2">
      <c r="GE2794"/>
      <c r="GF2794"/>
      <c r="GG2794"/>
      <c r="GH2794"/>
    </row>
    <row r="2795" spans="187:190" s="1" customFormat="1" ht="18" customHeight="1" x14ac:dyDescent="0.2">
      <c r="GE2795"/>
      <c r="GF2795"/>
      <c r="GG2795"/>
      <c r="GH2795"/>
    </row>
    <row r="2796" spans="187:190" s="1" customFormat="1" ht="18" customHeight="1" x14ac:dyDescent="0.2">
      <c r="GE2796"/>
      <c r="GF2796"/>
      <c r="GG2796"/>
      <c r="GH2796"/>
    </row>
    <row r="2797" spans="187:190" s="1" customFormat="1" ht="18" customHeight="1" x14ac:dyDescent="0.2">
      <c r="GE2797"/>
      <c r="GF2797"/>
      <c r="GG2797"/>
      <c r="GH2797"/>
    </row>
    <row r="2798" spans="187:190" s="1" customFormat="1" ht="18" customHeight="1" x14ac:dyDescent="0.2">
      <c r="GE2798"/>
      <c r="GF2798"/>
      <c r="GG2798"/>
      <c r="GH2798"/>
    </row>
    <row r="2799" spans="187:190" s="1" customFormat="1" ht="18" customHeight="1" x14ac:dyDescent="0.2">
      <c r="GE2799"/>
      <c r="GF2799"/>
      <c r="GG2799"/>
      <c r="GH2799"/>
    </row>
    <row r="2800" spans="187:190" s="1" customFormat="1" ht="18" customHeight="1" x14ac:dyDescent="0.2">
      <c r="GE2800"/>
      <c r="GF2800"/>
      <c r="GG2800"/>
      <c r="GH2800"/>
    </row>
    <row r="2801" spans="187:190" s="1" customFormat="1" ht="18" customHeight="1" x14ac:dyDescent="0.2">
      <c r="GE2801"/>
      <c r="GF2801"/>
      <c r="GG2801"/>
      <c r="GH2801"/>
    </row>
    <row r="2802" spans="187:190" s="1" customFormat="1" ht="18" customHeight="1" x14ac:dyDescent="0.2">
      <c r="GE2802"/>
      <c r="GF2802"/>
      <c r="GG2802"/>
      <c r="GH2802"/>
    </row>
    <row r="2803" spans="187:190" s="1" customFormat="1" ht="18" customHeight="1" x14ac:dyDescent="0.2">
      <c r="GE2803"/>
      <c r="GF2803"/>
      <c r="GG2803"/>
      <c r="GH2803"/>
    </row>
    <row r="2804" spans="187:190" s="1" customFormat="1" ht="18" customHeight="1" x14ac:dyDescent="0.2">
      <c r="GE2804"/>
      <c r="GF2804"/>
      <c r="GG2804"/>
      <c r="GH2804"/>
    </row>
    <row r="2805" spans="187:190" s="1" customFormat="1" ht="18" customHeight="1" x14ac:dyDescent="0.2">
      <c r="GE2805"/>
      <c r="GF2805"/>
      <c r="GG2805"/>
      <c r="GH2805"/>
    </row>
    <row r="2806" spans="187:190" s="1" customFormat="1" ht="18" customHeight="1" x14ac:dyDescent="0.2">
      <c r="GE2806"/>
      <c r="GF2806"/>
      <c r="GG2806"/>
      <c r="GH2806"/>
    </row>
    <row r="2807" spans="187:190" s="1" customFormat="1" ht="18" customHeight="1" x14ac:dyDescent="0.2">
      <c r="GE2807"/>
      <c r="GF2807"/>
      <c r="GG2807"/>
      <c r="GH2807"/>
    </row>
    <row r="2808" spans="187:190" s="1" customFormat="1" ht="18" customHeight="1" x14ac:dyDescent="0.2">
      <c r="GE2808"/>
      <c r="GF2808"/>
      <c r="GG2808"/>
      <c r="GH2808"/>
    </row>
    <row r="2809" spans="187:190" s="1" customFormat="1" ht="18" customHeight="1" x14ac:dyDescent="0.2">
      <c r="GE2809"/>
      <c r="GF2809"/>
      <c r="GG2809"/>
      <c r="GH2809"/>
    </row>
    <row r="2810" spans="187:190" s="1" customFormat="1" ht="18" customHeight="1" x14ac:dyDescent="0.2">
      <c r="GE2810"/>
      <c r="GF2810"/>
      <c r="GG2810"/>
      <c r="GH2810"/>
    </row>
    <row r="2811" spans="187:190" s="1" customFormat="1" ht="18" customHeight="1" x14ac:dyDescent="0.2">
      <c r="GE2811"/>
      <c r="GF2811"/>
      <c r="GG2811"/>
      <c r="GH2811"/>
    </row>
    <row r="2812" spans="187:190" s="1" customFormat="1" ht="18" customHeight="1" x14ac:dyDescent="0.2">
      <c r="GE2812"/>
      <c r="GF2812"/>
      <c r="GG2812"/>
      <c r="GH2812"/>
    </row>
    <row r="2813" spans="187:190" s="1" customFormat="1" ht="18" customHeight="1" x14ac:dyDescent="0.2">
      <c r="GE2813"/>
      <c r="GF2813"/>
      <c r="GG2813"/>
      <c r="GH2813"/>
    </row>
    <row r="2814" spans="187:190" s="1" customFormat="1" ht="18" customHeight="1" x14ac:dyDescent="0.2">
      <c r="GE2814"/>
      <c r="GF2814"/>
      <c r="GG2814"/>
      <c r="GH2814"/>
    </row>
    <row r="2815" spans="187:190" s="1" customFormat="1" ht="18" customHeight="1" x14ac:dyDescent="0.2">
      <c r="GE2815"/>
      <c r="GF2815"/>
      <c r="GG2815"/>
      <c r="GH2815"/>
    </row>
    <row r="2816" spans="187:190" s="1" customFormat="1" ht="18" customHeight="1" x14ac:dyDescent="0.2">
      <c r="GE2816"/>
      <c r="GF2816"/>
      <c r="GG2816"/>
      <c r="GH2816"/>
    </row>
    <row r="2817" spans="187:190" s="1" customFormat="1" ht="18" customHeight="1" x14ac:dyDescent="0.2">
      <c r="GE2817"/>
      <c r="GF2817"/>
      <c r="GG2817"/>
      <c r="GH2817"/>
    </row>
    <row r="2818" spans="187:190" s="1" customFormat="1" ht="18" customHeight="1" x14ac:dyDescent="0.2">
      <c r="GE2818"/>
      <c r="GF2818"/>
      <c r="GG2818"/>
      <c r="GH2818"/>
    </row>
    <row r="2819" spans="187:190" s="1" customFormat="1" ht="18" customHeight="1" x14ac:dyDescent="0.2">
      <c r="GE2819"/>
      <c r="GF2819"/>
      <c r="GG2819"/>
      <c r="GH2819"/>
    </row>
    <row r="2820" spans="187:190" s="1" customFormat="1" ht="18" customHeight="1" x14ac:dyDescent="0.2">
      <c r="GE2820"/>
      <c r="GF2820"/>
      <c r="GG2820"/>
      <c r="GH2820"/>
    </row>
    <row r="2821" spans="187:190" s="1" customFormat="1" ht="18" customHeight="1" x14ac:dyDescent="0.2">
      <c r="GE2821"/>
      <c r="GF2821"/>
      <c r="GG2821"/>
      <c r="GH2821"/>
    </row>
    <row r="2822" spans="187:190" s="1" customFormat="1" ht="18" customHeight="1" x14ac:dyDescent="0.2">
      <c r="GE2822"/>
      <c r="GF2822"/>
      <c r="GG2822"/>
      <c r="GH2822"/>
    </row>
    <row r="2823" spans="187:190" s="1" customFormat="1" ht="18" customHeight="1" x14ac:dyDescent="0.2">
      <c r="GE2823"/>
      <c r="GF2823"/>
      <c r="GG2823"/>
      <c r="GH2823"/>
    </row>
    <row r="2824" spans="187:190" s="1" customFormat="1" ht="18" customHeight="1" x14ac:dyDescent="0.2">
      <c r="GE2824"/>
      <c r="GF2824"/>
      <c r="GG2824"/>
      <c r="GH2824"/>
    </row>
    <row r="2825" spans="187:190" s="1" customFormat="1" ht="18" customHeight="1" x14ac:dyDescent="0.2">
      <c r="GE2825"/>
      <c r="GF2825"/>
      <c r="GG2825"/>
      <c r="GH2825"/>
    </row>
    <row r="2826" spans="187:190" s="1" customFormat="1" ht="18" customHeight="1" x14ac:dyDescent="0.2">
      <c r="GE2826"/>
      <c r="GF2826"/>
      <c r="GG2826"/>
      <c r="GH2826"/>
    </row>
    <row r="2827" spans="187:190" s="1" customFormat="1" ht="18" customHeight="1" x14ac:dyDescent="0.2">
      <c r="GE2827"/>
      <c r="GF2827"/>
      <c r="GG2827"/>
      <c r="GH2827"/>
    </row>
    <row r="2828" spans="187:190" s="1" customFormat="1" ht="18" customHeight="1" x14ac:dyDescent="0.2">
      <c r="GE2828"/>
      <c r="GF2828"/>
      <c r="GG2828"/>
      <c r="GH2828"/>
    </row>
    <row r="2829" spans="187:190" s="1" customFormat="1" ht="18" customHeight="1" x14ac:dyDescent="0.2">
      <c r="GE2829"/>
      <c r="GF2829"/>
      <c r="GG2829"/>
      <c r="GH2829"/>
    </row>
    <row r="2830" spans="187:190" s="1" customFormat="1" ht="18" customHeight="1" x14ac:dyDescent="0.2">
      <c r="GE2830"/>
      <c r="GF2830"/>
      <c r="GG2830"/>
      <c r="GH2830"/>
    </row>
    <row r="2831" spans="187:190" s="1" customFormat="1" ht="18" customHeight="1" x14ac:dyDescent="0.2">
      <c r="GE2831"/>
      <c r="GF2831"/>
      <c r="GG2831"/>
      <c r="GH2831"/>
    </row>
    <row r="2832" spans="187:190" s="1" customFormat="1" ht="18" customHeight="1" x14ac:dyDescent="0.2">
      <c r="GE2832"/>
      <c r="GF2832"/>
      <c r="GG2832"/>
      <c r="GH2832"/>
    </row>
    <row r="2833" spans="187:190" s="1" customFormat="1" ht="18" customHeight="1" x14ac:dyDescent="0.2">
      <c r="GE2833"/>
      <c r="GF2833"/>
      <c r="GG2833"/>
      <c r="GH2833"/>
    </row>
    <row r="2834" spans="187:190" s="1" customFormat="1" ht="18" customHeight="1" x14ac:dyDescent="0.2">
      <c r="GE2834"/>
      <c r="GF2834"/>
      <c r="GG2834"/>
      <c r="GH2834"/>
    </row>
    <row r="2835" spans="187:190" s="1" customFormat="1" ht="18" customHeight="1" x14ac:dyDescent="0.2">
      <c r="GE2835"/>
      <c r="GF2835"/>
      <c r="GG2835"/>
      <c r="GH2835"/>
    </row>
    <row r="2836" spans="187:190" s="1" customFormat="1" ht="18" customHeight="1" x14ac:dyDescent="0.2">
      <c r="GE2836"/>
      <c r="GF2836"/>
      <c r="GG2836"/>
      <c r="GH2836"/>
    </row>
    <row r="2837" spans="187:190" s="1" customFormat="1" ht="18" customHeight="1" x14ac:dyDescent="0.2">
      <c r="GE2837"/>
      <c r="GF2837"/>
      <c r="GG2837"/>
      <c r="GH2837"/>
    </row>
    <row r="2838" spans="187:190" s="1" customFormat="1" ht="18" customHeight="1" x14ac:dyDescent="0.2">
      <c r="GE2838"/>
      <c r="GF2838"/>
      <c r="GG2838"/>
      <c r="GH2838"/>
    </row>
    <row r="2839" spans="187:190" s="1" customFormat="1" ht="18" customHeight="1" x14ac:dyDescent="0.2">
      <c r="GE2839"/>
      <c r="GF2839"/>
      <c r="GG2839"/>
      <c r="GH2839"/>
    </row>
    <row r="2840" spans="187:190" s="1" customFormat="1" ht="18" customHeight="1" x14ac:dyDescent="0.2">
      <c r="GE2840"/>
      <c r="GF2840"/>
      <c r="GG2840"/>
      <c r="GH2840"/>
    </row>
    <row r="2841" spans="187:190" s="1" customFormat="1" ht="18" customHeight="1" x14ac:dyDescent="0.2">
      <c r="GE2841"/>
      <c r="GF2841"/>
      <c r="GG2841"/>
      <c r="GH2841"/>
    </row>
    <row r="2842" spans="187:190" s="1" customFormat="1" ht="18" customHeight="1" x14ac:dyDescent="0.2">
      <c r="GE2842"/>
      <c r="GF2842"/>
      <c r="GG2842"/>
      <c r="GH2842"/>
    </row>
    <row r="2843" spans="187:190" s="1" customFormat="1" ht="18" customHeight="1" x14ac:dyDescent="0.2">
      <c r="GE2843"/>
      <c r="GF2843"/>
      <c r="GG2843"/>
      <c r="GH2843"/>
    </row>
    <row r="2844" spans="187:190" s="1" customFormat="1" ht="18" customHeight="1" x14ac:dyDescent="0.2">
      <c r="GE2844"/>
      <c r="GF2844"/>
      <c r="GG2844"/>
      <c r="GH2844"/>
    </row>
    <row r="2845" spans="187:190" s="1" customFormat="1" ht="18" customHeight="1" x14ac:dyDescent="0.2">
      <c r="GE2845"/>
      <c r="GF2845"/>
      <c r="GG2845"/>
      <c r="GH2845"/>
    </row>
    <row r="2846" spans="187:190" s="1" customFormat="1" ht="18" customHeight="1" x14ac:dyDescent="0.2">
      <c r="GE2846"/>
      <c r="GF2846"/>
      <c r="GG2846"/>
      <c r="GH2846"/>
    </row>
    <row r="2847" spans="187:190" s="1" customFormat="1" ht="18" customHeight="1" x14ac:dyDescent="0.2">
      <c r="GE2847"/>
      <c r="GF2847"/>
      <c r="GG2847"/>
      <c r="GH2847"/>
    </row>
    <row r="2848" spans="187:190" s="1" customFormat="1" ht="18" customHeight="1" x14ac:dyDescent="0.2">
      <c r="GE2848"/>
      <c r="GF2848"/>
      <c r="GG2848"/>
      <c r="GH2848"/>
    </row>
    <row r="2849" spans="187:190" s="1" customFormat="1" ht="18" customHeight="1" x14ac:dyDescent="0.2">
      <c r="GE2849"/>
      <c r="GF2849"/>
      <c r="GG2849"/>
      <c r="GH2849"/>
    </row>
    <row r="2850" spans="187:190" s="1" customFormat="1" ht="18" customHeight="1" x14ac:dyDescent="0.2">
      <c r="GE2850"/>
      <c r="GF2850"/>
      <c r="GG2850"/>
      <c r="GH2850"/>
    </row>
    <row r="2851" spans="187:190" s="1" customFormat="1" ht="18" customHeight="1" x14ac:dyDescent="0.2">
      <c r="GE2851"/>
      <c r="GF2851"/>
      <c r="GG2851"/>
      <c r="GH2851"/>
    </row>
    <row r="2852" spans="187:190" s="1" customFormat="1" ht="18" customHeight="1" x14ac:dyDescent="0.2">
      <c r="GE2852"/>
      <c r="GF2852"/>
      <c r="GG2852"/>
      <c r="GH2852"/>
    </row>
    <row r="2853" spans="187:190" s="1" customFormat="1" ht="18" customHeight="1" x14ac:dyDescent="0.2">
      <c r="GE2853"/>
      <c r="GF2853"/>
      <c r="GG2853"/>
      <c r="GH2853"/>
    </row>
    <row r="2854" spans="187:190" s="1" customFormat="1" ht="18" customHeight="1" x14ac:dyDescent="0.2">
      <c r="GE2854"/>
      <c r="GF2854"/>
      <c r="GG2854"/>
      <c r="GH2854"/>
    </row>
    <row r="2855" spans="187:190" s="1" customFormat="1" ht="18" customHeight="1" x14ac:dyDescent="0.2">
      <c r="GE2855"/>
      <c r="GF2855"/>
      <c r="GG2855"/>
      <c r="GH2855"/>
    </row>
    <row r="2856" spans="187:190" s="1" customFormat="1" ht="18" customHeight="1" x14ac:dyDescent="0.2">
      <c r="GE2856"/>
      <c r="GF2856"/>
      <c r="GG2856"/>
      <c r="GH2856"/>
    </row>
    <row r="2857" spans="187:190" s="1" customFormat="1" ht="18" customHeight="1" x14ac:dyDescent="0.2">
      <c r="GE2857"/>
      <c r="GF2857"/>
      <c r="GG2857"/>
      <c r="GH2857"/>
    </row>
    <row r="2858" spans="187:190" s="1" customFormat="1" ht="18" customHeight="1" x14ac:dyDescent="0.2">
      <c r="GE2858"/>
      <c r="GF2858"/>
      <c r="GG2858"/>
      <c r="GH2858"/>
    </row>
    <row r="2859" spans="187:190" s="1" customFormat="1" ht="18" customHeight="1" x14ac:dyDescent="0.2">
      <c r="GE2859"/>
      <c r="GF2859"/>
      <c r="GG2859"/>
      <c r="GH2859"/>
    </row>
    <row r="2860" spans="187:190" s="1" customFormat="1" ht="18" customHeight="1" x14ac:dyDescent="0.2">
      <c r="GE2860"/>
      <c r="GF2860"/>
      <c r="GG2860"/>
      <c r="GH2860"/>
    </row>
    <row r="2861" spans="187:190" s="1" customFormat="1" ht="18" customHeight="1" x14ac:dyDescent="0.2">
      <c r="GE2861"/>
      <c r="GF2861"/>
      <c r="GG2861"/>
      <c r="GH2861"/>
    </row>
    <row r="2862" spans="187:190" s="1" customFormat="1" ht="18" customHeight="1" x14ac:dyDescent="0.2">
      <c r="GE2862"/>
      <c r="GF2862"/>
      <c r="GG2862"/>
      <c r="GH2862"/>
    </row>
    <row r="2863" spans="187:190" s="1" customFormat="1" ht="18" customHeight="1" x14ac:dyDescent="0.2">
      <c r="GE2863"/>
      <c r="GF2863"/>
      <c r="GG2863"/>
      <c r="GH2863"/>
    </row>
    <row r="2864" spans="187:190" s="1" customFormat="1" ht="18" customHeight="1" x14ac:dyDescent="0.2">
      <c r="GE2864"/>
      <c r="GF2864"/>
      <c r="GG2864"/>
      <c r="GH2864"/>
    </row>
    <row r="2865" spans="187:190" s="1" customFormat="1" ht="18" customHeight="1" x14ac:dyDescent="0.2">
      <c r="GE2865"/>
      <c r="GF2865"/>
      <c r="GG2865"/>
      <c r="GH2865"/>
    </row>
    <row r="2866" spans="187:190" s="1" customFormat="1" ht="18" customHeight="1" x14ac:dyDescent="0.2">
      <c r="GE2866"/>
      <c r="GF2866"/>
      <c r="GG2866"/>
      <c r="GH2866"/>
    </row>
    <row r="2867" spans="187:190" s="1" customFormat="1" ht="18" customHeight="1" x14ac:dyDescent="0.2">
      <c r="GE2867"/>
      <c r="GF2867"/>
      <c r="GG2867"/>
      <c r="GH2867"/>
    </row>
    <row r="2868" spans="187:190" s="1" customFormat="1" ht="18" customHeight="1" x14ac:dyDescent="0.2">
      <c r="GE2868"/>
      <c r="GF2868"/>
      <c r="GG2868"/>
      <c r="GH2868"/>
    </row>
    <row r="2869" spans="187:190" s="1" customFormat="1" ht="18" customHeight="1" x14ac:dyDescent="0.2">
      <c r="GE2869"/>
      <c r="GF2869"/>
      <c r="GG2869"/>
      <c r="GH2869"/>
    </row>
    <row r="2870" spans="187:190" s="1" customFormat="1" ht="18" customHeight="1" x14ac:dyDescent="0.2">
      <c r="GE2870"/>
      <c r="GF2870"/>
      <c r="GG2870"/>
      <c r="GH2870"/>
    </row>
    <row r="2871" spans="187:190" s="1" customFormat="1" ht="18" customHeight="1" x14ac:dyDescent="0.2">
      <c r="GE2871"/>
      <c r="GF2871"/>
      <c r="GG2871"/>
      <c r="GH2871"/>
    </row>
    <row r="2872" spans="187:190" s="1" customFormat="1" ht="18" customHeight="1" x14ac:dyDescent="0.2">
      <c r="GE2872"/>
      <c r="GF2872"/>
      <c r="GG2872"/>
      <c r="GH2872"/>
    </row>
    <row r="2873" spans="187:190" s="1" customFormat="1" ht="18" customHeight="1" x14ac:dyDescent="0.2">
      <c r="GE2873"/>
      <c r="GF2873"/>
      <c r="GG2873"/>
      <c r="GH2873"/>
    </row>
    <row r="2874" spans="187:190" s="1" customFormat="1" ht="18" customHeight="1" x14ac:dyDescent="0.2">
      <c r="GE2874"/>
      <c r="GF2874"/>
      <c r="GG2874"/>
      <c r="GH2874"/>
    </row>
    <row r="2875" spans="187:190" s="1" customFormat="1" ht="18" customHeight="1" x14ac:dyDescent="0.2">
      <c r="GE2875"/>
      <c r="GF2875"/>
      <c r="GG2875"/>
      <c r="GH2875"/>
    </row>
    <row r="2876" spans="187:190" s="1" customFormat="1" ht="18" customHeight="1" x14ac:dyDescent="0.2">
      <c r="GE2876"/>
      <c r="GF2876"/>
      <c r="GG2876"/>
      <c r="GH2876"/>
    </row>
    <row r="2877" spans="187:190" s="1" customFormat="1" ht="18" customHeight="1" x14ac:dyDescent="0.2">
      <c r="GE2877"/>
      <c r="GF2877"/>
      <c r="GG2877"/>
      <c r="GH2877"/>
    </row>
    <row r="2878" spans="187:190" s="1" customFormat="1" ht="18" customHeight="1" x14ac:dyDescent="0.2">
      <c r="GE2878"/>
      <c r="GF2878"/>
      <c r="GG2878"/>
      <c r="GH2878"/>
    </row>
    <row r="2879" spans="187:190" s="1" customFormat="1" ht="18" customHeight="1" x14ac:dyDescent="0.2">
      <c r="GE2879"/>
      <c r="GF2879"/>
      <c r="GG2879"/>
      <c r="GH2879"/>
    </row>
    <row r="2880" spans="187:190" s="1" customFormat="1" ht="18" customHeight="1" x14ac:dyDescent="0.2">
      <c r="GE2880"/>
      <c r="GF2880"/>
      <c r="GG2880"/>
      <c r="GH2880"/>
    </row>
    <row r="2881" spans="187:190" s="1" customFormat="1" ht="18" customHeight="1" x14ac:dyDescent="0.2">
      <c r="GE2881"/>
      <c r="GF2881"/>
      <c r="GG2881"/>
      <c r="GH2881"/>
    </row>
    <row r="2882" spans="187:190" s="1" customFormat="1" ht="18" customHeight="1" x14ac:dyDescent="0.2">
      <c r="GE2882"/>
      <c r="GF2882"/>
      <c r="GG2882"/>
      <c r="GH2882"/>
    </row>
    <row r="2883" spans="187:190" s="1" customFormat="1" ht="18" customHeight="1" x14ac:dyDescent="0.2">
      <c r="GE2883"/>
      <c r="GF2883"/>
      <c r="GG2883"/>
      <c r="GH2883"/>
    </row>
    <row r="2884" spans="187:190" s="1" customFormat="1" ht="18" customHeight="1" x14ac:dyDescent="0.2">
      <c r="GE2884"/>
      <c r="GF2884"/>
      <c r="GG2884"/>
      <c r="GH2884"/>
    </row>
    <row r="2885" spans="187:190" s="1" customFormat="1" ht="18" customHeight="1" x14ac:dyDescent="0.2">
      <c r="GE2885"/>
      <c r="GF2885"/>
      <c r="GG2885"/>
      <c r="GH2885"/>
    </row>
    <row r="2886" spans="187:190" s="1" customFormat="1" ht="18" customHeight="1" x14ac:dyDescent="0.2">
      <c r="GE2886"/>
      <c r="GF2886"/>
      <c r="GG2886"/>
      <c r="GH2886"/>
    </row>
    <row r="2887" spans="187:190" s="1" customFormat="1" ht="18" customHeight="1" x14ac:dyDescent="0.2">
      <c r="GE2887"/>
      <c r="GF2887"/>
      <c r="GG2887"/>
      <c r="GH2887"/>
    </row>
    <row r="2888" spans="187:190" s="1" customFormat="1" ht="18" customHeight="1" x14ac:dyDescent="0.2">
      <c r="GE2888"/>
      <c r="GF2888"/>
      <c r="GG2888"/>
      <c r="GH2888"/>
    </row>
    <row r="2889" spans="187:190" s="1" customFormat="1" ht="18" customHeight="1" x14ac:dyDescent="0.2">
      <c r="GE2889"/>
      <c r="GF2889"/>
      <c r="GG2889"/>
      <c r="GH2889"/>
    </row>
    <row r="2890" spans="187:190" s="1" customFormat="1" ht="18" customHeight="1" x14ac:dyDescent="0.2">
      <c r="GE2890"/>
      <c r="GF2890"/>
      <c r="GG2890"/>
      <c r="GH2890"/>
    </row>
    <row r="2891" spans="187:190" s="1" customFormat="1" ht="18" customHeight="1" x14ac:dyDescent="0.2">
      <c r="GE2891"/>
      <c r="GF2891"/>
      <c r="GG2891"/>
      <c r="GH2891"/>
    </row>
    <row r="2892" spans="187:190" s="1" customFormat="1" ht="18" customHeight="1" x14ac:dyDescent="0.2">
      <c r="GE2892"/>
      <c r="GF2892"/>
      <c r="GG2892"/>
      <c r="GH2892"/>
    </row>
    <row r="2893" spans="187:190" s="1" customFormat="1" ht="18" customHeight="1" x14ac:dyDescent="0.2">
      <c r="GE2893"/>
      <c r="GF2893"/>
      <c r="GG2893"/>
      <c r="GH2893"/>
    </row>
    <row r="2894" spans="187:190" s="1" customFormat="1" ht="18" customHeight="1" x14ac:dyDescent="0.2">
      <c r="GE2894"/>
      <c r="GF2894"/>
      <c r="GG2894"/>
      <c r="GH2894"/>
    </row>
    <row r="2895" spans="187:190" s="1" customFormat="1" ht="18" customHeight="1" x14ac:dyDescent="0.2">
      <c r="GE2895"/>
      <c r="GF2895"/>
      <c r="GG2895"/>
      <c r="GH2895"/>
    </row>
    <row r="2896" spans="187:190" s="1" customFormat="1" ht="18" customHeight="1" x14ac:dyDescent="0.2">
      <c r="GE2896"/>
      <c r="GF2896"/>
      <c r="GG2896"/>
      <c r="GH2896"/>
    </row>
    <row r="2897" spans="187:190" s="1" customFormat="1" ht="18" customHeight="1" x14ac:dyDescent="0.2">
      <c r="GE2897"/>
      <c r="GF2897"/>
      <c r="GG2897"/>
      <c r="GH2897"/>
    </row>
    <row r="2898" spans="187:190" s="1" customFormat="1" ht="18" customHeight="1" x14ac:dyDescent="0.2">
      <c r="GE2898"/>
      <c r="GF2898"/>
      <c r="GG2898"/>
      <c r="GH2898"/>
    </row>
    <row r="2899" spans="187:190" s="1" customFormat="1" ht="18" customHeight="1" x14ac:dyDescent="0.2">
      <c r="GE2899"/>
      <c r="GF2899"/>
      <c r="GG2899"/>
      <c r="GH2899"/>
    </row>
    <row r="2900" spans="187:190" s="1" customFormat="1" ht="18" customHeight="1" x14ac:dyDescent="0.2">
      <c r="GE2900"/>
      <c r="GF2900"/>
      <c r="GG2900"/>
      <c r="GH2900"/>
    </row>
    <row r="2901" spans="187:190" s="1" customFormat="1" ht="18" customHeight="1" x14ac:dyDescent="0.2">
      <c r="GE2901"/>
      <c r="GF2901"/>
      <c r="GG2901"/>
      <c r="GH2901"/>
    </row>
    <row r="2902" spans="187:190" s="1" customFormat="1" ht="18" customHeight="1" x14ac:dyDescent="0.2">
      <c r="GE2902"/>
      <c r="GF2902"/>
      <c r="GG2902"/>
      <c r="GH2902"/>
    </row>
    <row r="2903" spans="187:190" s="1" customFormat="1" ht="18" customHeight="1" x14ac:dyDescent="0.2">
      <c r="GE2903"/>
      <c r="GF2903"/>
      <c r="GG2903"/>
      <c r="GH2903"/>
    </row>
    <row r="2904" spans="187:190" s="1" customFormat="1" ht="18" customHeight="1" x14ac:dyDescent="0.2">
      <c r="GE2904"/>
      <c r="GF2904"/>
      <c r="GG2904"/>
      <c r="GH2904"/>
    </row>
    <row r="2905" spans="187:190" s="1" customFormat="1" ht="18" customHeight="1" x14ac:dyDescent="0.2">
      <c r="GE2905"/>
      <c r="GF2905"/>
      <c r="GG2905"/>
      <c r="GH2905"/>
    </row>
    <row r="2906" spans="187:190" s="1" customFormat="1" ht="18" customHeight="1" x14ac:dyDescent="0.2">
      <c r="GE2906"/>
      <c r="GF2906"/>
      <c r="GG2906"/>
      <c r="GH2906"/>
    </row>
    <row r="2907" spans="187:190" s="1" customFormat="1" ht="18" customHeight="1" x14ac:dyDescent="0.2">
      <c r="GE2907"/>
      <c r="GF2907"/>
      <c r="GG2907"/>
      <c r="GH2907"/>
    </row>
    <row r="2908" spans="187:190" s="1" customFormat="1" ht="18" customHeight="1" x14ac:dyDescent="0.2">
      <c r="GE2908"/>
      <c r="GF2908"/>
      <c r="GG2908"/>
      <c r="GH2908"/>
    </row>
    <row r="2909" spans="187:190" s="1" customFormat="1" ht="18" customHeight="1" x14ac:dyDescent="0.2">
      <c r="GE2909"/>
      <c r="GF2909"/>
      <c r="GG2909"/>
      <c r="GH2909"/>
    </row>
    <row r="2910" spans="187:190" s="1" customFormat="1" ht="18" customHeight="1" x14ac:dyDescent="0.2">
      <c r="GE2910"/>
      <c r="GF2910"/>
      <c r="GG2910"/>
      <c r="GH2910"/>
    </row>
    <row r="2911" spans="187:190" s="1" customFormat="1" ht="18" customHeight="1" x14ac:dyDescent="0.2">
      <c r="GE2911"/>
      <c r="GF2911"/>
      <c r="GG2911"/>
      <c r="GH2911"/>
    </row>
    <row r="2912" spans="187:190" s="1" customFormat="1" ht="18" customHeight="1" x14ac:dyDescent="0.2">
      <c r="GE2912"/>
      <c r="GF2912"/>
      <c r="GG2912"/>
      <c r="GH2912"/>
    </row>
    <row r="2913" spans="187:190" s="1" customFormat="1" ht="18" customHeight="1" x14ac:dyDescent="0.2">
      <c r="GE2913"/>
      <c r="GF2913"/>
      <c r="GG2913"/>
      <c r="GH2913"/>
    </row>
    <row r="2914" spans="187:190" s="1" customFormat="1" ht="18" customHeight="1" x14ac:dyDescent="0.2">
      <c r="GE2914"/>
      <c r="GF2914"/>
      <c r="GG2914"/>
      <c r="GH2914"/>
    </row>
    <row r="2915" spans="187:190" s="1" customFormat="1" ht="18" customHeight="1" x14ac:dyDescent="0.2">
      <c r="GE2915"/>
      <c r="GF2915"/>
      <c r="GG2915"/>
      <c r="GH2915"/>
    </row>
    <row r="2916" spans="187:190" s="1" customFormat="1" ht="18" customHeight="1" x14ac:dyDescent="0.2">
      <c r="GE2916"/>
      <c r="GF2916"/>
      <c r="GG2916"/>
      <c r="GH2916"/>
    </row>
    <row r="2917" spans="187:190" s="1" customFormat="1" ht="18" customHeight="1" x14ac:dyDescent="0.2">
      <c r="GE2917"/>
      <c r="GF2917"/>
      <c r="GG2917"/>
      <c r="GH2917"/>
    </row>
    <row r="2918" spans="187:190" s="1" customFormat="1" ht="18" customHeight="1" x14ac:dyDescent="0.2">
      <c r="GE2918"/>
      <c r="GF2918"/>
      <c r="GG2918"/>
      <c r="GH2918"/>
    </row>
    <row r="2919" spans="187:190" s="1" customFormat="1" ht="18" customHeight="1" x14ac:dyDescent="0.2">
      <c r="GE2919"/>
      <c r="GF2919"/>
      <c r="GG2919"/>
      <c r="GH2919"/>
    </row>
    <row r="2920" spans="187:190" s="1" customFormat="1" ht="18" customHeight="1" x14ac:dyDescent="0.2">
      <c r="GE2920"/>
      <c r="GF2920"/>
      <c r="GG2920"/>
      <c r="GH2920"/>
    </row>
    <row r="2921" spans="187:190" s="1" customFormat="1" ht="18" customHeight="1" x14ac:dyDescent="0.2">
      <c r="GE2921"/>
      <c r="GF2921"/>
      <c r="GG2921"/>
      <c r="GH2921"/>
    </row>
    <row r="2922" spans="187:190" s="1" customFormat="1" ht="18" customHeight="1" x14ac:dyDescent="0.2">
      <c r="GE2922"/>
      <c r="GF2922"/>
      <c r="GG2922"/>
      <c r="GH2922"/>
    </row>
    <row r="2923" spans="187:190" s="1" customFormat="1" ht="18" customHeight="1" x14ac:dyDescent="0.2">
      <c r="GE2923"/>
      <c r="GF2923"/>
      <c r="GG2923"/>
      <c r="GH2923"/>
    </row>
    <row r="2924" spans="187:190" s="1" customFormat="1" ht="18" customHeight="1" x14ac:dyDescent="0.2">
      <c r="GE2924"/>
      <c r="GF2924"/>
      <c r="GG2924"/>
      <c r="GH2924"/>
    </row>
    <row r="2925" spans="187:190" s="1" customFormat="1" ht="18" customHeight="1" x14ac:dyDescent="0.2">
      <c r="GE2925"/>
      <c r="GF2925"/>
      <c r="GG2925"/>
      <c r="GH2925"/>
    </row>
    <row r="2926" spans="187:190" s="1" customFormat="1" ht="18" customHeight="1" x14ac:dyDescent="0.2">
      <c r="GE2926"/>
      <c r="GF2926"/>
      <c r="GG2926"/>
      <c r="GH2926"/>
    </row>
    <row r="2927" spans="187:190" s="1" customFormat="1" ht="18" customHeight="1" x14ac:dyDescent="0.2">
      <c r="GE2927"/>
      <c r="GF2927"/>
      <c r="GG2927"/>
      <c r="GH2927"/>
    </row>
    <row r="2928" spans="187:190" s="1" customFormat="1" ht="18" customHeight="1" x14ac:dyDescent="0.2">
      <c r="GE2928"/>
      <c r="GF2928"/>
      <c r="GG2928"/>
      <c r="GH2928"/>
    </row>
    <row r="2929" spans="187:190" s="1" customFormat="1" ht="18" customHeight="1" x14ac:dyDescent="0.2">
      <c r="GE2929"/>
      <c r="GF2929"/>
      <c r="GG2929"/>
      <c r="GH2929"/>
    </row>
    <row r="2930" spans="187:190" s="1" customFormat="1" ht="18" customHeight="1" x14ac:dyDescent="0.2">
      <c r="GE2930"/>
      <c r="GF2930"/>
      <c r="GG2930"/>
      <c r="GH2930"/>
    </row>
    <row r="2931" spans="187:190" s="1" customFormat="1" ht="18" customHeight="1" x14ac:dyDescent="0.2">
      <c r="GE2931"/>
      <c r="GF2931"/>
      <c r="GG2931"/>
      <c r="GH2931"/>
    </row>
    <row r="2932" spans="187:190" s="1" customFormat="1" ht="18" customHeight="1" x14ac:dyDescent="0.2">
      <c r="GE2932"/>
      <c r="GF2932"/>
      <c r="GG2932"/>
      <c r="GH2932"/>
    </row>
    <row r="2933" spans="187:190" s="1" customFormat="1" ht="18" customHeight="1" x14ac:dyDescent="0.2">
      <c r="GE2933"/>
      <c r="GF2933"/>
      <c r="GG2933"/>
      <c r="GH2933"/>
    </row>
    <row r="2934" spans="187:190" s="1" customFormat="1" ht="18" customHeight="1" x14ac:dyDescent="0.2">
      <c r="GE2934"/>
      <c r="GF2934"/>
      <c r="GG2934"/>
      <c r="GH2934"/>
    </row>
    <row r="2935" spans="187:190" s="1" customFormat="1" ht="18" customHeight="1" x14ac:dyDescent="0.2">
      <c r="GE2935"/>
      <c r="GF2935"/>
      <c r="GG2935"/>
      <c r="GH2935"/>
    </row>
    <row r="2936" spans="187:190" s="1" customFormat="1" ht="18" customHeight="1" x14ac:dyDescent="0.2">
      <c r="GE2936"/>
      <c r="GF2936"/>
      <c r="GG2936"/>
      <c r="GH2936"/>
    </row>
    <row r="2937" spans="187:190" s="1" customFormat="1" ht="18" customHeight="1" x14ac:dyDescent="0.2">
      <c r="GE2937"/>
      <c r="GF2937"/>
      <c r="GG2937"/>
      <c r="GH2937"/>
    </row>
    <row r="2938" spans="187:190" s="1" customFormat="1" ht="18" customHeight="1" x14ac:dyDescent="0.2">
      <c r="GE2938"/>
      <c r="GF2938"/>
      <c r="GG2938"/>
      <c r="GH2938"/>
    </row>
    <row r="2939" spans="187:190" s="1" customFormat="1" ht="18" customHeight="1" x14ac:dyDescent="0.2">
      <c r="GE2939"/>
      <c r="GF2939"/>
      <c r="GG2939"/>
      <c r="GH2939"/>
    </row>
    <row r="2940" spans="187:190" s="1" customFormat="1" ht="18" customHeight="1" x14ac:dyDescent="0.2">
      <c r="GE2940"/>
      <c r="GF2940"/>
      <c r="GG2940"/>
      <c r="GH2940"/>
    </row>
    <row r="2941" spans="187:190" s="1" customFormat="1" ht="18" customHeight="1" x14ac:dyDescent="0.2">
      <c r="GE2941"/>
      <c r="GF2941"/>
      <c r="GG2941"/>
      <c r="GH2941"/>
    </row>
    <row r="2942" spans="187:190" s="1" customFormat="1" ht="18" customHeight="1" x14ac:dyDescent="0.2">
      <c r="GE2942"/>
      <c r="GF2942"/>
      <c r="GG2942"/>
      <c r="GH2942"/>
    </row>
    <row r="2943" spans="187:190" s="1" customFormat="1" ht="18" customHeight="1" x14ac:dyDescent="0.2">
      <c r="GE2943"/>
      <c r="GF2943"/>
      <c r="GG2943"/>
      <c r="GH2943"/>
    </row>
    <row r="2944" spans="187:190" s="1" customFormat="1" ht="18" customHeight="1" x14ac:dyDescent="0.2">
      <c r="GE2944"/>
      <c r="GF2944"/>
      <c r="GG2944"/>
      <c r="GH2944"/>
    </row>
    <row r="2945" spans="187:190" s="1" customFormat="1" ht="18" customHeight="1" x14ac:dyDescent="0.2">
      <c r="GE2945"/>
      <c r="GF2945"/>
      <c r="GG2945"/>
      <c r="GH2945"/>
    </row>
    <row r="2946" spans="187:190" s="1" customFormat="1" ht="18" customHeight="1" x14ac:dyDescent="0.2">
      <c r="GE2946"/>
      <c r="GF2946"/>
      <c r="GG2946"/>
      <c r="GH2946"/>
    </row>
    <row r="2947" spans="187:190" s="1" customFormat="1" ht="18" customHeight="1" x14ac:dyDescent="0.2">
      <c r="GE2947"/>
      <c r="GF2947"/>
      <c r="GG2947"/>
      <c r="GH2947"/>
    </row>
    <row r="2948" spans="187:190" s="1" customFormat="1" ht="18" customHeight="1" x14ac:dyDescent="0.2">
      <c r="GE2948"/>
      <c r="GF2948"/>
      <c r="GG2948"/>
      <c r="GH2948"/>
    </row>
    <row r="2949" spans="187:190" s="1" customFormat="1" ht="18" customHeight="1" x14ac:dyDescent="0.2">
      <c r="GE2949"/>
      <c r="GF2949"/>
      <c r="GG2949"/>
      <c r="GH2949"/>
    </row>
    <row r="2950" spans="187:190" s="1" customFormat="1" ht="18" customHeight="1" x14ac:dyDescent="0.2">
      <c r="GE2950"/>
      <c r="GF2950"/>
      <c r="GG2950"/>
      <c r="GH2950"/>
    </row>
    <row r="2951" spans="187:190" s="1" customFormat="1" ht="18" customHeight="1" x14ac:dyDescent="0.2">
      <c r="GE2951"/>
      <c r="GF2951"/>
      <c r="GG2951"/>
      <c r="GH2951"/>
    </row>
    <row r="2952" spans="187:190" s="1" customFormat="1" ht="18" customHeight="1" x14ac:dyDescent="0.2">
      <c r="GE2952"/>
      <c r="GF2952"/>
      <c r="GG2952"/>
      <c r="GH2952"/>
    </row>
    <row r="2953" spans="187:190" s="1" customFormat="1" ht="18" customHeight="1" x14ac:dyDescent="0.2">
      <c r="GE2953"/>
      <c r="GF2953"/>
      <c r="GG2953"/>
      <c r="GH2953"/>
    </row>
    <row r="2954" spans="187:190" s="1" customFormat="1" ht="18" customHeight="1" x14ac:dyDescent="0.2">
      <c r="GE2954"/>
      <c r="GF2954"/>
      <c r="GG2954"/>
      <c r="GH2954"/>
    </row>
    <row r="2955" spans="187:190" s="1" customFormat="1" ht="18" customHeight="1" x14ac:dyDescent="0.2">
      <c r="GE2955"/>
      <c r="GF2955"/>
      <c r="GG2955"/>
      <c r="GH2955"/>
    </row>
    <row r="2956" spans="187:190" s="1" customFormat="1" ht="18" customHeight="1" x14ac:dyDescent="0.2">
      <c r="GE2956"/>
      <c r="GF2956"/>
      <c r="GG2956"/>
      <c r="GH2956"/>
    </row>
    <row r="2957" spans="187:190" s="1" customFormat="1" ht="18" customHeight="1" x14ac:dyDescent="0.2">
      <c r="GE2957"/>
      <c r="GF2957"/>
      <c r="GG2957"/>
      <c r="GH2957"/>
    </row>
    <row r="2958" spans="187:190" s="1" customFormat="1" ht="18" customHeight="1" x14ac:dyDescent="0.2">
      <c r="GE2958"/>
      <c r="GF2958"/>
      <c r="GG2958"/>
      <c r="GH2958"/>
    </row>
    <row r="2959" spans="187:190" s="1" customFormat="1" ht="18" customHeight="1" x14ac:dyDescent="0.2">
      <c r="GE2959"/>
      <c r="GF2959"/>
      <c r="GG2959"/>
      <c r="GH2959"/>
    </row>
    <row r="2960" spans="187:190" s="1" customFormat="1" ht="18" customHeight="1" x14ac:dyDescent="0.2">
      <c r="GE2960"/>
      <c r="GF2960"/>
      <c r="GG2960"/>
      <c r="GH2960"/>
    </row>
    <row r="2961" spans="187:190" s="1" customFormat="1" ht="18" customHeight="1" x14ac:dyDescent="0.2">
      <c r="GE2961"/>
      <c r="GF2961"/>
      <c r="GG2961"/>
      <c r="GH2961"/>
    </row>
    <row r="2962" spans="187:190" s="1" customFormat="1" ht="18" customHeight="1" x14ac:dyDescent="0.2">
      <c r="GE2962"/>
      <c r="GF2962"/>
      <c r="GG2962"/>
      <c r="GH2962"/>
    </row>
    <row r="2963" spans="187:190" s="1" customFormat="1" ht="18" customHeight="1" x14ac:dyDescent="0.2">
      <c r="GE2963"/>
      <c r="GF2963"/>
      <c r="GG2963"/>
      <c r="GH2963"/>
    </row>
    <row r="2964" spans="187:190" s="1" customFormat="1" ht="18" customHeight="1" x14ac:dyDescent="0.2">
      <c r="GE2964"/>
      <c r="GF2964"/>
      <c r="GG2964"/>
      <c r="GH2964"/>
    </row>
    <row r="2965" spans="187:190" s="1" customFormat="1" ht="18" customHeight="1" x14ac:dyDescent="0.2">
      <c r="GE2965"/>
      <c r="GF2965"/>
      <c r="GG2965"/>
      <c r="GH2965"/>
    </row>
    <row r="2966" spans="187:190" s="1" customFormat="1" ht="18" customHeight="1" x14ac:dyDescent="0.2">
      <c r="GE2966"/>
      <c r="GF2966"/>
      <c r="GG2966"/>
      <c r="GH2966"/>
    </row>
    <row r="2967" spans="187:190" s="1" customFormat="1" ht="18" customHeight="1" x14ac:dyDescent="0.2">
      <c r="GE2967"/>
      <c r="GF2967"/>
      <c r="GG2967"/>
      <c r="GH2967"/>
    </row>
    <row r="2968" spans="187:190" s="1" customFormat="1" ht="18" customHeight="1" x14ac:dyDescent="0.2">
      <c r="GE2968"/>
      <c r="GF2968"/>
      <c r="GG2968"/>
      <c r="GH2968"/>
    </row>
    <row r="2969" spans="187:190" s="1" customFormat="1" ht="18" customHeight="1" x14ac:dyDescent="0.2">
      <c r="GE2969"/>
      <c r="GF2969"/>
      <c r="GG2969"/>
      <c r="GH2969"/>
    </row>
    <row r="2970" spans="187:190" s="1" customFormat="1" ht="18" customHeight="1" x14ac:dyDescent="0.2">
      <c r="GE2970"/>
      <c r="GF2970"/>
      <c r="GG2970"/>
      <c r="GH2970"/>
    </row>
    <row r="2971" spans="187:190" s="1" customFormat="1" ht="18" customHeight="1" x14ac:dyDescent="0.2">
      <c r="GE2971"/>
      <c r="GF2971"/>
      <c r="GG2971"/>
      <c r="GH2971"/>
    </row>
    <row r="2972" spans="187:190" s="1" customFormat="1" ht="18" customHeight="1" x14ac:dyDescent="0.2">
      <c r="GE2972"/>
      <c r="GF2972"/>
      <c r="GG2972"/>
      <c r="GH2972"/>
    </row>
    <row r="2973" spans="187:190" s="1" customFormat="1" ht="18" customHeight="1" x14ac:dyDescent="0.2">
      <c r="GE2973"/>
      <c r="GF2973"/>
      <c r="GG2973"/>
      <c r="GH2973"/>
    </row>
    <row r="2974" spans="187:190" s="1" customFormat="1" ht="18" customHeight="1" x14ac:dyDescent="0.2">
      <c r="GE2974"/>
      <c r="GF2974"/>
      <c r="GG2974"/>
      <c r="GH2974"/>
    </row>
    <row r="2975" spans="187:190" s="1" customFormat="1" ht="18" customHeight="1" x14ac:dyDescent="0.2">
      <c r="GE2975"/>
      <c r="GF2975"/>
      <c r="GG2975"/>
      <c r="GH2975"/>
    </row>
    <row r="2976" spans="187:190" s="1" customFormat="1" ht="18" customHeight="1" x14ac:dyDescent="0.2">
      <c r="GE2976"/>
      <c r="GF2976"/>
      <c r="GG2976"/>
      <c r="GH2976"/>
    </row>
    <row r="2977" spans="187:190" s="1" customFormat="1" ht="18" customHeight="1" x14ac:dyDescent="0.2">
      <c r="GE2977"/>
      <c r="GF2977"/>
      <c r="GG2977"/>
      <c r="GH2977"/>
    </row>
    <row r="2978" spans="187:190" s="1" customFormat="1" ht="18" customHeight="1" x14ac:dyDescent="0.2">
      <c r="GE2978"/>
      <c r="GF2978"/>
      <c r="GG2978"/>
      <c r="GH2978"/>
    </row>
    <row r="2979" spans="187:190" s="1" customFormat="1" ht="18" customHeight="1" x14ac:dyDescent="0.2">
      <c r="GE2979"/>
      <c r="GF2979"/>
      <c r="GG2979"/>
      <c r="GH2979"/>
    </row>
    <row r="2980" spans="187:190" s="1" customFormat="1" ht="18" customHeight="1" x14ac:dyDescent="0.2">
      <c r="GE2980"/>
      <c r="GF2980"/>
      <c r="GG2980"/>
      <c r="GH2980"/>
    </row>
    <row r="2981" spans="187:190" s="1" customFormat="1" ht="18" customHeight="1" x14ac:dyDescent="0.2">
      <c r="GE2981"/>
      <c r="GF2981"/>
      <c r="GG2981"/>
      <c r="GH2981"/>
    </row>
    <row r="2982" spans="187:190" s="1" customFormat="1" ht="18" customHeight="1" x14ac:dyDescent="0.2">
      <c r="GE2982"/>
      <c r="GF2982"/>
      <c r="GG2982"/>
      <c r="GH2982"/>
    </row>
    <row r="2983" spans="187:190" s="1" customFormat="1" ht="18" customHeight="1" x14ac:dyDescent="0.2">
      <c r="GE2983"/>
      <c r="GF2983"/>
      <c r="GG2983"/>
      <c r="GH2983"/>
    </row>
    <row r="2984" spans="187:190" s="1" customFormat="1" ht="18" customHeight="1" x14ac:dyDescent="0.2">
      <c r="GE2984"/>
      <c r="GF2984"/>
      <c r="GG2984"/>
      <c r="GH2984"/>
    </row>
    <row r="2985" spans="187:190" s="1" customFormat="1" ht="18" customHeight="1" x14ac:dyDescent="0.2">
      <c r="GE2985"/>
      <c r="GF2985"/>
      <c r="GG2985"/>
      <c r="GH2985"/>
    </row>
    <row r="2986" spans="187:190" s="1" customFormat="1" ht="18" customHeight="1" x14ac:dyDescent="0.2">
      <c r="GE2986"/>
      <c r="GF2986"/>
      <c r="GG2986"/>
      <c r="GH2986"/>
    </row>
    <row r="2987" spans="187:190" s="1" customFormat="1" ht="18" customHeight="1" x14ac:dyDescent="0.2">
      <c r="GE2987"/>
      <c r="GF2987"/>
      <c r="GG2987"/>
      <c r="GH2987"/>
    </row>
    <row r="2988" spans="187:190" s="1" customFormat="1" ht="18" customHeight="1" x14ac:dyDescent="0.2">
      <c r="GE2988"/>
      <c r="GF2988"/>
      <c r="GG2988"/>
      <c r="GH2988"/>
    </row>
    <row r="2989" spans="187:190" s="1" customFormat="1" ht="18" customHeight="1" x14ac:dyDescent="0.2">
      <c r="GE2989"/>
      <c r="GF2989"/>
      <c r="GG2989"/>
      <c r="GH2989"/>
    </row>
    <row r="2990" spans="187:190" s="1" customFormat="1" ht="18" customHeight="1" x14ac:dyDescent="0.2">
      <c r="GE2990"/>
      <c r="GF2990"/>
      <c r="GG2990"/>
      <c r="GH2990"/>
    </row>
    <row r="2991" spans="187:190" s="1" customFormat="1" ht="18" customHeight="1" x14ac:dyDescent="0.2">
      <c r="GE2991"/>
      <c r="GF2991"/>
      <c r="GG2991"/>
      <c r="GH2991"/>
    </row>
    <row r="2992" spans="187:190" s="1" customFormat="1" ht="18" customHeight="1" x14ac:dyDescent="0.2">
      <c r="GE2992"/>
      <c r="GF2992"/>
      <c r="GG2992"/>
      <c r="GH2992"/>
    </row>
    <row r="2993" spans="187:190" s="1" customFormat="1" ht="18" customHeight="1" x14ac:dyDescent="0.2">
      <c r="GE2993"/>
      <c r="GF2993"/>
      <c r="GG2993"/>
      <c r="GH2993"/>
    </row>
    <row r="2994" spans="187:190" s="1" customFormat="1" ht="18" customHeight="1" x14ac:dyDescent="0.2">
      <c r="GE2994"/>
      <c r="GF2994"/>
      <c r="GG2994"/>
      <c r="GH2994"/>
    </row>
    <row r="2995" spans="187:190" s="1" customFormat="1" ht="18" customHeight="1" x14ac:dyDescent="0.2">
      <c r="GE2995"/>
      <c r="GF2995"/>
      <c r="GG2995"/>
      <c r="GH2995"/>
    </row>
    <row r="2996" spans="187:190" s="1" customFormat="1" ht="18" customHeight="1" x14ac:dyDescent="0.2">
      <c r="GE2996"/>
      <c r="GF2996"/>
      <c r="GG2996"/>
      <c r="GH2996"/>
    </row>
    <row r="2997" spans="187:190" s="1" customFormat="1" ht="18" customHeight="1" x14ac:dyDescent="0.2">
      <c r="GE2997"/>
      <c r="GF2997"/>
      <c r="GG2997"/>
      <c r="GH2997"/>
    </row>
    <row r="2998" spans="187:190" s="1" customFormat="1" ht="18" customHeight="1" x14ac:dyDescent="0.2">
      <c r="GE2998"/>
      <c r="GF2998"/>
      <c r="GG2998"/>
      <c r="GH2998"/>
    </row>
    <row r="2999" spans="187:190" s="1" customFormat="1" ht="18" customHeight="1" x14ac:dyDescent="0.2">
      <c r="GE2999"/>
      <c r="GF2999"/>
      <c r="GG2999"/>
      <c r="GH2999"/>
    </row>
    <row r="3000" spans="187:190" s="1" customFormat="1" ht="18" customHeight="1" x14ac:dyDescent="0.2">
      <c r="GE3000"/>
      <c r="GF3000"/>
      <c r="GG3000"/>
      <c r="GH3000"/>
    </row>
    <row r="3001" spans="187:190" s="1" customFormat="1" ht="18" customHeight="1" x14ac:dyDescent="0.2">
      <c r="GE3001"/>
      <c r="GF3001"/>
      <c r="GG3001"/>
      <c r="GH3001"/>
    </row>
    <row r="3002" spans="187:190" s="1" customFormat="1" ht="18" customHeight="1" x14ac:dyDescent="0.2">
      <c r="GE3002"/>
      <c r="GF3002"/>
      <c r="GG3002"/>
      <c r="GH3002"/>
    </row>
    <row r="3003" spans="187:190" s="1" customFormat="1" ht="18" customHeight="1" x14ac:dyDescent="0.2">
      <c r="GE3003"/>
      <c r="GF3003"/>
      <c r="GG3003"/>
      <c r="GH3003"/>
    </row>
    <row r="3004" spans="187:190" s="1" customFormat="1" ht="18" customHeight="1" x14ac:dyDescent="0.2">
      <c r="GE3004"/>
      <c r="GF3004"/>
      <c r="GG3004"/>
      <c r="GH3004"/>
    </row>
    <row r="3005" spans="187:190" s="1" customFormat="1" ht="18" customHeight="1" x14ac:dyDescent="0.2">
      <c r="GE3005"/>
      <c r="GF3005"/>
      <c r="GG3005"/>
      <c r="GH3005"/>
    </row>
    <row r="3006" spans="187:190" s="1" customFormat="1" ht="18" customHeight="1" x14ac:dyDescent="0.2">
      <c r="GE3006"/>
      <c r="GF3006"/>
      <c r="GG3006"/>
      <c r="GH3006"/>
    </row>
    <row r="3007" spans="187:190" s="1" customFormat="1" ht="18" customHeight="1" x14ac:dyDescent="0.2">
      <c r="GE3007"/>
      <c r="GF3007"/>
      <c r="GG3007"/>
      <c r="GH3007"/>
    </row>
    <row r="3008" spans="187:190" s="1" customFormat="1" ht="18" customHeight="1" x14ac:dyDescent="0.2">
      <c r="GE3008"/>
      <c r="GF3008"/>
      <c r="GG3008"/>
      <c r="GH3008"/>
    </row>
    <row r="3009" spans="187:190" s="1" customFormat="1" ht="18" customHeight="1" x14ac:dyDescent="0.2">
      <c r="GE3009"/>
      <c r="GF3009"/>
      <c r="GG3009"/>
      <c r="GH3009"/>
    </row>
    <row r="3010" spans="187:190" s="1" customFormat="1" ht="18" customHeight="1" x14ac:dyDescent="0.2">
      <c r="GE3010"/>
      <c r="GF3010"/>
      <c r="GG3010"/>
      <c r="GH3010"/>
    </row>
    <row r="3011" spans="187:190" s="1" customFormat="1" ht="18" customHeight="1" x14ac:dyDescent="0.2">
      <c r="GE3011"/>
      <c r="GF3011"/>
      <c r="GG3011"/>
      <c r="GH3011"/>
    </row>
    <row r="3012" spans="187:190" s="1" customFormat="1" ht="18" customHeight="1" x14ac:dyDescent="0.2">
      <c r="GE3012"/>
      <c r="GF3012"/>
      <c r="GG3012"/>
      <c r="GH3012"/>
    </row>
    <row r="3013" spans="187:190" s="1" customFormat="1" ht="18" customHeight="1" x14ac:dyDescent="0.2">
      <c r="GE3013"/>
      <c r="GF3013"/>
      <c r="GG3013"/>
      <c r="GH3013"/>
    </row>
    <row r="3014" spans="187:190" s="1" customFormat="1" ht="18" customHeight="1" x14ac:dyDescent="0.2">
      <c r="GE3014"/>
      <c r="GF3014"/>
      <c r="GG3014"/>
      <c r="GH3014"/>
    </row>
    <row r="3015" spans="187:190" s="1" customFormat="1" ht="18" customHeight="1" x14ac:dyDescent="0.2">
      <c r="GE3015"/>
      <c r="GF3015"/>
      <c r="GG3015"/>
      <c r="GH3015"/>
    </row>
    <row r="3016" spans="187:190" s="1" customFormat="1" ht="18" customHeight="1" x14ac:dyDescent="0.2">
      <c r="GE3016"/>
      <c r="GF3016"/>
      <c r="GG3016"/>
      <c r="GH3016"/>
    </row>
    <row r="3017" spans="187:190" s="1" customFormat="1" ht="18" customHeight="1" x14ac:dyDescent="0.2">
      <c r="GE3017"/>
      <c r="GF3017"/>
      <c r="GG3017"/>
      <c r="GH3017"/>
    </row>
    <row r="3018" spans="187:190" s="1" customFormat="1" ht="18" customHeight="1" x14ac:dyDescent="0.2">
      <c r="GE3018"/>
      <c r="GF3018"/>
      <c r="GG3018"/>
      <c r="GH3018"/>
    </row>
    <row r="3019" spans="187:190" s="1" customFormat="1" ht="18" customHeight="1" x14ac:dyDescent="0.2">
      <c r="GE3019"/>
      <c r="GF3019"/>
      <c r="GG3019"/>
      <c r="GH3019"/>
    </row>
    <row r="3020" spans="187:190" s="1" customFormat="1" ht="18" customHeight="1" x14ac:dyDescent="0.2">
      <c r="GE3020"/>
      <c r="GF3020"/>
      <c r="GG3020"/>
      <c r="GH3020"/>
    </row>
    <row r="3021" spans="187:190" s="1" customFormat="1" ht="18" customHeight="1" x14ac:dyDescent="0.2">
      <c r="GE3021"/>
      <c r="GF3021"/>
      <c r="GG3021"/>
      <c r="GH3021"/>
    </row>
    <row r="3022" spans="187:190" s="1" customFormat="1" ht="18" customHeight="1" x14ac:dyDescent="0.2">
      <c r="GE3022"/>
      <c r="GF3022"/>
      <c r="GG3022"/>
      <c r="GH3022"/>
    </row>
    <row r="3023" spans="187:190" s="1" customFormat="1" ht="18" customHeight="1" x14ac:dyDescent="0.2">
      <c r="GE3023"/>
      <c r="GF3023"/>
      <c r="GG3023"/>
      <c r="GH3023"/>
    </row>
    <row r="3024" spans="187:190" s="1" customFormat="1" ht="18" customHeight="1" x14ac:dyDescent="0.2">
      <c r="GE3024"/>
      <c r="GF3024"/>
      <c r="GG3024"/>
      <c r="GH3024"/>
    </row>
    <row r="3025" spans="187:190" s="1" customFormat="1" ht="18" customHeight="1" x14ac:dyDescent="0.2">
      <c r="GE3025"/>
      <c r="GF3025"/>
      <c r="GG3025"/>
      <c r="GH3025"/>
    </row>
    <row r="3026" spans="187:190" s="1" customFormat="1" ht="18" customHeight="1" x14ac:dyDescent="0.2">
      <c r="GE3026"/>
      <c r="GF3026"/>
      <c r="GG3026"/>
      <c r="GH3026"/>
    </row>
    <row r="3027" spans="187:190" s="1" customFormat="1" ht="18" customHeight="1" x14ac:dyDescent="0.2">
      <c r="GE3027"/>
      <c r="GF3027"/>
      <c r="GG3027"/>
      <c r="GH3027"/>
    </row>
    <row r="3028" spans="187:190" s="1" customFormat="1" ht="18" customHeight="1" x14ac:dyDescent="0.2">
      <c r="GE3028"/>
      <c r="GF3028"/>
      <c r="GG3028"/>
      <c r="GH3028"/>
    </row>
    <row r="3029" spans="187:190" s="1" customFormat="1" ht="18" customHeight="1" x14ac:dyDescent="0.2">
      <c r="GE3029"/>
      <c r="GF3029"/>
      <c r="GG3029"/>
      <c r="GH3029"/>
    </row>
    <row r="3030" spans="187:190" s="1" customFormat="1" ht="18" customHeight="1" x14ac:dyDescent="0.2">
      <c r="GE3030"/>
      <c r="GF3030"/>
      <c r="GG3030"/>
      <c r="GH3030"/>
    </row>
    <row r="3031" spans="187:190" s="1" customFormat="1" ht="18" customHeight="1" x14ac:dyDescent="0.2">
      <c r="GE3031"/>
      <c r="GF3031"/>
      <c r="GG3031"/>
      <c r="GH3031"/>
    </row>
    <row r="3032" spans="187:190" s="1" customFormat="1" ht="18" customHeight="1" x14ac:dyDescent="0.2">
      <c r="GE3032"/>
      <c r="GF3032"/>
      <c r="GG3032"/>
      <c r="GH3032"/>
    </row>
    <row r="3033" spans="187:190" s="1" customFormat="1" ht="18" customHeight="1" x14ac:dyDescent="0.2">
      <c r="GE3033"/>
      <c r="GF3033"/>
      <c r="GG3033"/>
      <c r="GH3033"/>
    </row>
    <row r="3034" spans="187:190" s="1" customFormat="1" ht="18" customHeight="1" x14ac:dyDescent="0.2">
      <c r="GE3034"/>
      <c r="GF3034"/>
      <c r="GG3034"/>
      <c r="GH3034"/>
    </row>
    <row r="3035" spans="187:190" s="1" customFormat="1" ht="18" customHeight="1" x14ac:dyDescent="0.2">
      <c r="GE3035"/>
      <c r="GF3035"/>
      <c r="GG3035"/>
      <c r="GH3035"/>
    </row>
    <row r="3036" spans="187:190" s="1" customFormat="1" ht="18" customHeight="1" x14ac:dyDescent="0.2">
      <c r="GE3036"/>
      <c r="GF3036"/>
      <c r="GG3036"/>
      <c r="GH3036"/>
    </row>
    <row r="3037" spans="187:190" s="1" customFormat="1" ht="18" customHeight="1" x14ac:dyDescent="0.2">
      <c r="GE3037"/>
      <c r="GF3037"/>
      <c r="GG3037"/>
      <c r="GH3037"/>
    </row>
    <row r="3038" spans="187:190" s="1" customFormat="1" ht="18" customHeight="1" x14ac:dyDescent="0.2">
      <c r="GE3038"/>
      <c r="GF3038"/>
      <c r="GG3038"/>
      <c r="GH3038"/>
    </row>
    <row r="3039" spans="187:190" s="1" customFormat="1" ht="18" customHeight="1" x14ac:dyDescent="0.2">
      <c r="GE3039"/>
      <c r="GF3039"/>
      <c r="GG3039"/>
      <c r="GH3039"/>
    </row>
    <row r="3040" spans="187:190" s="1" customFormat="1" ht="18" customHeight="1" x14ac:dyDescent="0.2">
      <c r="GE3040"/>
      <c r="GF3040"/>
      <c r="GG3040"/>
      <c r="GH3040"/>
    </row>
    <row r="3041" spans="187:190" s="1" customFormat="1" ht="18" customHeight="1" x14ac:dyDescent="0.2">
      <c r="GE3041"/>
      <c r="GF3041"/>
      <c r="GG3041"/>
      <c r="GH3041"/>
    </row>
    <row r="3042" spans="187:190" s="1" customFormat="1" ht="18" customHeight="1" x14ac:dyDescent="0.2">
      <c r="GE3042"/>
      <c r="GF3042"/>
      <c r="GG3042"/>
      <c r="GH3042"/>
    </row>
    <row r="3043" spans="187:190" s="1" customFormat="1" ht="18" customHeight="1" x14ac:dyDescent="0.2">
      <c r="GE3043"/>
      <c r="GF3043"/>
      <c r="GG3043"/>
      <c r="GH3043"/>
    </row>
    <row r="3044" spans="187:190" s="1" customFormat="1" ht="18" customHeight="1" x14ac:dyDescent="0.2">
      <c r="GE3044"/>
      <c r="GF3044"/>
      <c r="GG3044"/>
      <c r="GH3044"/>
    </row>
    <row r="3045" spans="187:190" s="1" customFormat="1" ht="18" customHeight="1" x14ac:dyDescent="0.2">
      <c r="GE3045"/>
      <c r="GF3045"/>
      <c r="GG3045"/>
      <c r="GH3045"/>
    </row>
    <row r="3046" spans="187:190" s="1" customFormat="1" ht="18" customHeight="1" x14ac:dyDescent="0.2">
      <c r="GE3046"/>
      <c r="GF3046"/>
      <c r="GG3046"/>
      <c r="GH3046"/>
    </row>
    <row r="3047" spans="187:190" s="1" customFormat="1" ht="18" customHeight="1" x14ac:dyDescent="0.2">
      <c r="GE3047"/>
      <c r="GF3047"/>
      <c r="GG3047"/>
      <c r="GH3047"/>
    </row>
    <row r="3048" spans="187:190" s="1" customFormat="1" ht="18" customHeight="1" x14ac:dyDescent="0.2">
      <c r="GE3048"/>
      <c r="GF3048"/>
      <c r="GG3048"/>
      <c r="GH3048"/>
    </row>
    <row r="3049" spans="187:190" s="1" customFormat="1" ht="18" customHeight="1" x14ac:dyDescent="0.2">
      <c r="GE3049"/>
      <c r="GF3049"/>
      <c r="GG3049"/>
      <c r="GH3049"/>
    </row>
    <row r="3050" spans="187:190" s="1" customFormat="1" ht="18" customHeight="1" x14ac:dyDescent="0.2">
      <c r="GE3050"/>
      <c r="GF3050"/>
      <c r="GG3050"/>
      <c r="GH3050"/>
    </row>
    <row r="3051" spans="187:190" s="1" customFormat="1" ht="18" customHeight="1" x14ac:dyDescent="0.2">
      <c r="GE3051"/>
      <c r="GF3051"/>
      <c r="GG3051"/>
      <c r="GH3051"/>
    </row>
    <row r="3052" spans="187:190" s="1" customFormat="1" ht="18" customHeight="1" x14ac:dyDescent="0.2">
      <c r="GE3052"/>
      <c r="GF3052"/>
      <c r="GG3052"/>
      <c r="GH3052"/>
    </row>
    <row r="3053" spans="187:190" s="1" customFormat="1" ht="18" customHeight="1" x14ac:dyDescent="0.2">
      <c r="GE3053"/>
      <c r="GF3053"/>
      <c r="GG3053"/>
      <c r="GH3053"/>
    </row>
    <row r="3054" spans="187:190" s="1" customFormat="1" ht="18" customHeight="1" x14ac:dyDescent="0.2">
      <c r="GE3054"/>
      <c r="GF3054"/>
      <c r="GG3054"/>
      <c r="GH3054"/>
    </row>
    <row r="3055" spans="187:190" s="1" customFormat="1" ht="18" customHeight="1" x14ac:dyDescent="0.2">
      <c r="GE3055"/>
      <c r="GF3055"/>
      <c r="GG3055"/>
      <c r="GH3055"/>
    </row>
    <row r="3056" spans="187:190" s="1" customFormat="1" ht="18" customHeight="1" x14ac:dyDescent="0.2">
      <c r="GE3056"/>
      <c r="GF3056"/>
      <c r="GG3056"/>
      <c r="GH3056"/>
    </row>
    <row r="3057" spans="187:190" s="1" customFormat="1" ht="18" customHeight="1" x14ac:dyDescent="0.2">
      <c r="GE3057"/>
      <c r="GF3057"/>
      <c r="GG3057"/>
      <c r="GH3057"/>
    </row>
    <row r="3058" spans="187:190" s="1" customFormat="1" ht="18" customHeight="1" x14ac:dyDescent="0.2">
      <c r="GE3058"/>
      <c r="GF3058"/>
      <c r="GG3058"/>
      <c r="GH3058"/>
    </row>
    <row r="3059" spans="187:190" s="1" customFormat="1" ht="18" customHeight="1" x14ac:dyDescent="0.2">
      <c r="GE3059"/>
      <c r="GF3059"/>
      <c r="GG3059"/>
      <c r="GH3059"/>
    </row>
    <row r="3060" spans="187:190" s="1" customFormat="1" ht="18" customHeight="1" x14ac:dyDescent="0.2">
      <c r="GE3060"/>
      <c r="GF3060"/>
      <c r="GG3060"/>
      <c r="GH3060"/>
    </row>
    <row r="3061" spans="187:190" s="1" customFormat="1" ht="18" customHeight="1" x14ac:dyDescent="0.2">
      <c r="GE3061"/>
      <c r="GF3061"/>
      <c r="GG3061"/>
      <c r="GH3061"/>
    </row>
    <row r="3062" spans="187:190" s="1" customFormat="1" ht="18" customHeight="1" x14ac:dyDescent="0.2">
      <c r="GE3062"/>
      <c r="GF3062"/>
      <c r="GG3062"/>
      <c r="GH3062"/>
    </row>
    <row r="3063" spans="187:190" s="1" customFormat="1" ht="18" customHeight="1" x14ac:dyDescent="0.2">
      <c r="GE3063"/>
      <c r="GF3063"/>
      <c r="GG3063"/>
      <c r="GH3063"/>
    </row>
    <row r="3064" spans="187:190" s="1" customFormat="1" ht="18" customHeight="1" x14ac:dyDescent="0.2">
      <c r="GE3064"/>
      <c r="GF3064"/>
      <c r="GG3064"/>
      <c r="GH3064"/>
    </row>
    <row r="3065" spans="187:190" s="1" customFormat="1" ht="18" customHeight="1" x14ac:dyDescent="0.2">
      <c r="GE3065"/>
      <c r="GF3065"/>
      <c r="GG3065"/>
      <c r="GH3065"/>
    </row>
    <row r="3066" spans="187:190" s="1" customFormat="1" ht="18" customHeight="1" x14ac:dyDescent="0.2">
      <c r="GE3066"/>
      <c r="GF3066"/>
      <c r="GG3066"/>
      <c r="GH3066"/>
    </row>
    <row r="3067" spans="187:190" s="1" customFormat="1" ht="18" customHeight="1" x14ac:dyDescent="0.2">
      <c r="GE3067"/>
      <c r="GF3067"/>
      <c r="GG3067"/>
      <c r="GH3067"/>
    </row>
    <row r="3068" spans="187:190" s="1" customFormat="1" ht="18" customHeight="1" x14ac:dyDescent="0.2">
      <c r="GE3068"/>
      <c r="GF3068"/>
      <c r="GG3068"/>
      <c r="GH3068"/>
    </row>
    <row r="3069" spans="187:190" s="1" customFormat="1" ht="18" customHeight="1" x14ac:dyDescent="0.2">
      <c r="GE3069"/>
      <c r="GF3069"/>
      <c r="GG3069"/>
      <c r="GH3069"/>
    </row>
    <row r="3070" spans="187:190" s="1" customFormat="1" ht="18" customHeight="1" x14ac:dyDescent="0.2">
      <c r="GE3070"/>
      <c r="GF3070"/>
      <c r="GG3070"/>
      <c r="GH3070"/>
    </row>
    <row r="3071" spans="187:190" s="1" customFormat="1" ht="18" customHeight="1" x14ac:dyDescent="0.2">
      <c r="GE3071"/>
      <c r="GF3071"/>
      <c r="GG3071"/>
      <c r="GH3071"/>
    </row>
    <row r="3072" spans="187:190" s="1" customFormat="1" ht="18" customHeight="1" x14ac:dyDescent="0.2">
      <c r="GE3072"/>
      <c r="GF3072"/>
      <c r="GG3072"/>
      <c r="GH3072"/>
    </row>
    <row r="3073" spans="187:190" s="1" customFormat="1" ht="18" customHeight="1" x14ac:dyDescent="0.2">
      <c r="GE3073"/>
      <c r="GF3073"/>
      <c r="GG3073"/>
      <c r="GH3073"/>
    </row>
    <row r="3074" spans="187:190" s="1" customFormat="1" ht="18" customHeight="1" x14ac:dyDescent="0.2">
      <c r="GE3074"/>
      <c r="GF3074"/>
      <c r="GG3074"/>
      <c r="GH3074"/>
    </row>
    <row r="3075" spans="187:190" s="1" customFormat="1" ht="18" customHeight="1" x14ac:dyDescent="0.2">
      <c r="GE3075"/>
      <c r="GF3075"/>
      <c r="GG3075"/>
      <c r="GH3075"/>
    </row>
    <row r="3076" spans="187:190" s="1" customFormat="1" ht="18" customHeight="1" x14ac:dyDescent="0.2">
      <c r="GE3076"/>
      <c r="GF3076"/>
      <c r="GG3076"/>
      <c r="GH3076"/>
    </row>
    <row r="3077" spans="187:190" s="1" customFormat="1" ht="18" customHeight="1" x14ac:dyDescent="0.2">
      <c r="GE3077"/>
      <c r="GF3077"/>
      <c r="GG3077"/>
      <c r="GH3077"/>
    </row>
    <row r="3078" spans="187:190" s="1" customFormat="1" ht="18" customHeight="1" x14ac:dyDescent="0.2">
      <c r="GE3078"/>
      <c r="GF3078"/>
      <c r="GG3078"/>
      <c r="GH3078"/>
    </row>
    <row r="3079" spans="187:190" s="1" customFormat="1" ht="18" customHeight="1" x14ac:dyDescent="0.2">
      <c r="GE3079"/>
      <c r="GF3079"/>
      <c r="GG3079"/>
      <c r="GH3079"/>
    </row>
    <row r="3080" spans="187:190" s="1" customFormat="1" ht="18" customHeight="1" x14ac:dyDescent="0.2">
      <c r="GE3080"/>
      <c r="GF3080"/>
      <c r="GG3080"/>
      <c r="GH3080"/>
    </row>
    <row r="3081" spans="187:190" s="1" customFormat="1" ht="18" customHeight="1" x14ac:dyDescent="0.2">
      <c r="GE3081"/>
      <c r="GF3081"/>
      <c r="GG3081"/>
      <c r="GH3081"/>
    </row>
    <row r="3082" spans="187:190" s="1" customFormat="1" ht="18" customHeight="1" x14ac:dyDescent="0.2">
      <c r="GE3082"/>
      <c r="GF3082"/>
      <c r="GG3082"/>
      <c r="GH3082"/>
    </row>
    <row r="3083" spans="187:190" s="1" customFormat="1" ht="18" customHeight="1" x14ac:dyDescent="0.2">
      <c r="GE3083"/>
      <c r="GF3083"/>
      <c r="GG3083"/>
      <c r="GH3083"/>
    </row>
    <row r="3084" spans="187:190" s="1" customFormat="1" ht="18" customHeight="1" x14ac:dyDescent="0.2">
      <c r="GE3084"/>
      <c r="GF3084"/>
      <c r="GG3084"/>
      <c r="GH3084"/>
    </row>
    <row r="3085" spans="187:190" s="1" customFormat="1" ht="18" customHeight="1" x14ac:dyDescent="0.2">
      <c r="GE3085"/>
      <c r="GF3085"/>
      <c r="GG3085"/>
      <c r="GH3085"/>
    </row>
    <row r="3086" spans="187:190" s="1" customFormat="1" ht="18" customHeight="1" x14ac:dyDescent="0.2">
      <c r="GE3086"/>
      <c r="GF3086"/>
      <c r="GG3086"/>
      <c r="GH3086"/>
    </row>
    <row r="3087" spans="187:190" s="1" customFormat="1" ht="18" customHeight="1" x14ac:dyDescent="0.2">
      <c r="GE3087"/>
      <c r="GF3087"/>
      <c r="GG3087"/>
      <c r="GH3087"/>
    </row>
    <row r="3088" spans="187:190" s="1" customFormat="1" ht="18" customHeight="1" x14ac:dyDescent="0.2">
      <c r="GE3088"/>
      <c r="GF3088"/>
      <c r="GG3088"/>
      <c r="GH3088"/>
    </row>
    <row r="3089" spans="187:190" s="1" customFormat="1" ht="18" customHeight="1" x14ac:dyDescent="0.2">
      <c r="GE3089"/>
      <c r="GF3089"/>
      <c r="GG3089"/>
      <c r="GH3089"/>
    </row>
    <row r="3090" spans="187:190" s="1" customFormat="1" ht="18" customHeight="1" x14ac:dyDescent="0.2">
      <c r="GE3090"/>
      <c r="GF3090"/>
      <c r="GG3090"/>
      <c r="GH3090"/>
    </row>
    <row r="3091" spans="187:190" s="1" customFormat="1" ht="18" customHeight="1" x14ac:dyDescent="0.2">
      <c r="GE3091"/>
      <c r="GF3091"/>
      <c r="GG3091"/>
      <c r="GH3091"/>
    </row>
    <row r="3092" spans="187:190" s="1" customFormat="1" ht="18" customHeight="1" x14ac:dyDescent="0.2">
      <c r="GE3092"/>
      <c r="GF3092"/>
      <c r="GG3092"/>
      <c r="GH3092"/>
    </row>
    <row r="3093" spans="187:190" s="1" customFormat="1" ht="18" customHeight="1" x14ac:dyDescent="0.2">
      <c r="GE3093"/>
      <c r="GF3093"/>
      <c r="GG3093"/>
      <c r="GH3093"/>
    </row>
    <row r="3094" spans="187:190" s="1" customFormat="1" ht="18" customHeight="1" x14ac:dyDescent="0.2">
      <c r="GE3094"/>
      <c r="GF3094"/>
      <c r="GG3094"/>
      <c r="GH3094"/>
    </row>
    <row r="3095" spans="187:190" s="1" customFormat="1" ht="18" customHeight="1" x14ac:dyDescent="0.2">
      <c r="GE3095"/>
      <c r="GF3095"/>
      <c r="GG3095"/>
      <c r="GH3095"/>
    </row>
    <row r="3096" spans="187:190" s="1" customFormat="1" ht="18" customHeight="1" x14ac:dyDescent="0.2">
      <c r="GE3096"/>
      <c r="GF3096"/>
      <c r="GG3096"/>
      <c r="GH3096"/>
    </row>
    <row r="3097" spans="187:190" s="1" customFormat="1" ht="18" customHeight="1" x14ac:dyDescent="0.2">
      <c r="GE3097"/>
      <c r="GF3097"/>
      <c r="GG3097"/>
      <c r="GH3097"/>
    </row>
    <row r="3098" spans="187:190" s="1" customFormat="1" ht="18" customHeight="1" x14ac:dyDescent="0.2">
      <c r="GE3098"/>
      <c r="GF3098"/>
      <c r="GG3098"/>
      <c r="GH3098"/>
    </row>
    <row r="3099" spans="187:190" s="1" customFormat="1" ht="18" customHeight="1" x14ac:dyDescent="0.2">
      <c r="GE3099"/>
      <c r="GF3099"/>
      <c r="GG3099"/>
      <c r="GH3099"/>
    </row>
    <row r="3100" spans="187:190" s="1" customFormat="1" ht="18" customHeight="1" x14ac:dyDescent="0.2">
      <c r="GE3100"/>
      <c r="GF3100"/>
      <c r="GG3100"/>
      <c r="GH3100"/>
    </row>
    <row r="3101" spans="187:190" s="1" customFormat="1" ht="18" customHeight="1" x14ac:dyDescent="0.2">
      <c r="GE3101"/>
      <c r="GF3101"/>
      <c r="GG3101"/>
      <c r="GH3101"/>
    </row>
    <row r="3102" spans="187:190" s="1" customFormat="1" ht="18" customHeight="1" x14ac:dyDescent="0.2">
      <c r="GE3102"/>
      <c r="GF3102"/>
      <c r="GG3102"/>
      <c r="GH3102"/>
    </row>
    <row r="3103" spans="187:190" s="1" customFormat="1" ht="18" customHeight="1" x14ac:dyDescent="0.2">
      <c r="GE3103"/>
      <c r="GF3103"/>
      <c r="GG3103"/>
      <c r="GH3103"/>
    </row>
    <row r="3104" spans="187:190" s="1" customFormat="1" ht="18" customHeight="1" x14ac:dyDescent="0.2">
      <c r="GE3104"/>
      <c r="GF3104"/>
      <c r="GG3104"/>
      <c r="GH3104"/>
    </row>
    <row r="3105" spans="187:190" s="1" customFormat="1" ht="18" customHeight="1" x14ac:dyDescent="0.2">
      <c r="GE3105"/>
      <c r="GF3105"/>
      <c r="GG3105"/>
      <c r="GH3105"/>
    </row>
    <row r="3106" spans="187:190" s="1" customFormat="1" ht="18" customHeight="1" x14ac:dyDescent="0.2">
      <c r="GE3106"/>
      <c r="GF3106"/>
      <c r="GG3106"/>
      <c r="GH3106"/>
    </row>
    <row r="3107" spans="187:190" s="1" customFormat="1" ht="18" customHeight="1" x14ac:dyDescent="0.2">
      <c r="GE3107"/>
      <c r="GF3107"/>
      <c r="GG3107"/>
      <c r="GH3107"/>
    </row>
    <row r="3108" spans="187:190" s="1" customFormat="1" ht="18" customHeight="1" x14ac:dyDescent="0.2">
      <c r="GE3108"/>
      <c r="GF3108"/>
      <c r="GG3108"/>
      <c r="GH3108"/>
    </row>
    <row r="3109" spans="187:190" s="1" customFormat="1" ht="18" customHeight="1" x14ac:dyDescent="0.2">
      <c r="GE3109"/>
      <c r="GF3109"/>
      <c r="GG3109"/>
      <c r="GH3109"/>
    </row>
    <row r="3110" spans="187:190" s="1" customFormat="1" ht="18" customHeight="1" x14ac:dyDescent="0.2">
      <c r="GE3110"/>
      <c r="GF3110"/>
      <c r="GG3110"/>
      <c r="GH3110"/>
    </row>
    <row r="3111" spans="187:190" s="1" customFormat="1" ht="18" customHeight="1" x14ac:dyDescent="0.2">
      <c r="GE3111"/>
      <c r="GF3111"/>
      <c r="GG3111"/>
      <c r="GH3111"/>
    </row>
    <row r="3112" spans="187:190" s="1" customFormat="1" ht="18" customHeight="1" x14ac:dyDescent="0.2">
      <c r="GE3112"/>
      <c r="GF3112"/>
      <c r="GG3112"/>
      <c r="GH3112"/>
    </row>
    <row r="3113" spans="187:190" s="1" customFormat="1" ht="18" customHeight="1" x14ac:dyDescent="0.2">
      <c r="GE3113"/>
      <c r="GF3113"/>
      <c r="GG3113"/>
      <c r="GH3113"/>
    </row>
    <row r="3114" spans="187:190" s="1" customFormat="1" ht="18" customHeight="1" x14ac:dyDescent="0.2">
      <c r="GE3114"/>
      <c r="GF3114"/>
      <c r="GG3114"/>
      <c r="GH3114"/>
    </row>
    <row r="3115" spans="187:190" s="1" customFormat="1" ht="18" customHeight="1" x14ac:dyDescent="0.2">
      <c r="GE3115"/>
      <c r="GF3115"/>
      <c r="GG3115"/>
      <c r="GH3115"/>
    </row>
    <row r="3116" spans="187:190" s="1" customFormat="1" ht="18" customHeight="1" x14ac:dyDescent="0.2">
      <c r="GE3116"/>
      <c r="GF3116"/>
      <c r="GG3116"/>
      <c r="GH3116"/>
    </row>
    <row r="3117" spans="187:190" s="1" customFormat="1" ht="18" customHeight="1" x14ac:dyDescent="0.2">
      <c r="GE3117"/>
      <c r="GF3117"/>
      <c r="GG3117"/>
      <c r="GH3117"/>
    </row>
    <row r="3118" spans="187:190" s="1" customFormat="1" ht="18" customHeight="1" x14ac:dyDescent="0.2">
      <c r="GE3118"/>
      <c r="GF3118"/>
      <c r="GG3118"/>
      <c r="GH3118"/>
    </row>
    <row r="3119" spans="187:190" s="1" customFormat="1" ht="18" customHeight="1" x14ac:dyDescent="0.2">
      <c r="GE3119"/>
      <c r="GF3119"/>
      <c r="GG3119"/>
      <c r="GH3119"/>
    </row>
    <row r="3120" spans="187:190" s="1" customFormat="1" ht="18" customHeight="1" x14ac:dyDescent="0.2">
      <c r="GE3120"/>
      <c r="GF3120"/>
      <c r="GG3120"/>
      <c r="GH3120"/>
    </row>
    <row r="3121" spans="187:190" s="1" customFormat="1" ht="18" customHeight="1" x14ac:dyDescent="0.2">
      <c r="GE3121"/>
      <c r="GF3121"/>
      <c r="GG3121"/>
      <c r="GH3121"/>
    </row>
    <row r="3122" spans="187:190" s="1" customFormat="1" ht="18" customHeight="1" x14ac:dyDescent="0.2">
      <c r="GE3122"/>
      <c r="GF3122"/>
      <c r="GG3122"/>
      <c r="GH3122"/>
    </row>
    <row r="3123" spans="187:190" s="1" customFormat="1" ht="18" customHeight="1" x14ac:dyDescent="0.2">
      <c r="GE3123"/>
      <c r="GF3123"/>
      <c r="GG3123"/>
      <c r="GH3123"/>
    </row>
    <row r="3124" spans="187:190" s="1" customFormat="1" ht="18" customHeight="1" x14ac:dyDescent="0.2">
      <c r="GE3124"/>
      <c r="GF3124"/>
      <c r="GG3124"/>
      <c r="GH3124"/>
    </row>
    <row r="3125" spans="187:190" s="1" customFormat="1" ht="18" customHeight="1" x14ac:dyDescent="0.2">
      <c r="GE3125"/>
      <c r="GF3125"/>
      <c r="GG3125"/>
      <c r="GH3125"/>
    </row>
    <row r="3126" spans="187:190" s="1" customFormat="1" ht="18" customHeight="1" x14ac:dyDescent="0.2">
      <c r="GE3126"/>
      <c r="GF3126"/>
      <c r="GG3126"/>
      <c r="GH3126"/>
    </row>
    <row r="3127" spans="187:190" s="1" customFormat="1" ht="18" customHeight="1" x14ac:dyDescent="0.2">
      <c r="GE3127"/>
      <c r="GF3127"/>
      <c r="GG3127"/>
      <c r="GH3127"/>
    </row>
    <row r="3128" spans="187:190" s="1" customFormat="1" ht="18" customHeight="1" x14ac:dyDescent="0.2">
      <c r="GE3128"/>
      <c r="GF3128"/>
      <c r="GG3128"/>
      <c r="GH3128"/>
    </row>
    <row r="3129" spans="187:190" s="1" customFormat="1" ht="18" customHeight="1" x14ac:dyDescent="0.2">
      <c r="GE3129"/>
      <c r="GF3129"/>
      <c r="GG3129"/>
      <c r="GH3129"/>
    </row>
    <row r="3130" spans="187:190" s="1" customFormat="1" ht="18" customHeight="1" x14ac:dyDescent="0.2">
      <c r="GE3130"/>
      <c r="GF3130"/>
      <c r="GG3130"/>
      <c r="GH3130"/>
    </row>
    <row r="3131" spans="187:190" s="1" customFormat="1" ht="18" customHeight="1" x14ac:dyDescent="0.2">
      <c r="GE3131"/>
      <c r="GF3131"/>
      <c r="GG3131"/>
      <c r="GH3131"/>
    </row>
    <row r="3132" spans="187:190" s="1" customFormat="1" ht="18" customHeight="1" x14ac:dyDescent="0.2">
      <c r="GE3132"/>
      <c r="GF3132"/>
      <c r="GG3132"/>
      <c r="GH3132"/>
    </row>
    <row r="3133" spans="187:190" s="1" customFormat="1" ht="18" customHeight="1" x14ac:dyDescent="0.2">
      <c r="GE3133"/>
      <c r="GF3133"/>
      <c r="GG3133"/>
      <c r="GH3133"/>
    </row>
    <row r="3134" spans="187:190" s="1" customFormat="1" ht="18" customHeight="1" x14ac:dyDescent="0.2">
      <c r="GE3134"/>
      <c r="GF3134"/>
      <c r="GG3134"/>
      <c r="GH3134"/>
    </row>
    <row r="3135" spans="187:190" s="1" customFormat="1" ht="18" customHeight="1" x14ac:dyDescent="0.2">
      <c r="GE3135"/>
      <c r="GF3135"/>
      <c r="GG3135"/>
      <c r="GH3135"/>
    </row>
    <row r="3136" spans="187:190" s="1" customFormat="1" ht="18" customHeight="1" x14ac:dyDescent="0.2">
      <c r="GE3136"/>
      <c r="GF3136"/>
      <c r="GG3136"/>
      <c r="GH3136"/>
    </row>
    <row r="3137" spans="187:190" s="1" customFormat="1" ht="18" customHeight="1" x14ac:dyDescent="0.2">
      <c r="GE3137"/>
      <c r="GF3137"/>
      <c r="GG3137"/>
      <c r="GH3137"/>
    </row>
    <row r="3138" spans="187:190" s="1" customFormat="1" ht="18" customHeight="1" x14ac:dyDescent="0.2">
      <c r="GE3138"/>
      <c r="GF3138"/>
      <c r="GG3138"/>
      <c r="GH3138"/>
    </row>
    <row r="3139" spans="187:190" s="1" customFormat="1" ht="18" customHeight="1" x14ac:dyDescent="0.2">
      <c r="GE3139"/>
      <c r="GF3139"/>
      <c r="GG3139"/>
      <c r="GH3139"/>
    </row>
    <row r="3140" spans="187:190" s="1" customFormat="1" ht="18" customHeight="1" x14ac:dyDescent="0.2">
      <c r="GE3140"/>
      <c r="GF3140"/>
      <c r="GG3140"/>
      <c r="GH3140"/>
    </row>
    <row r="3141" spans="187:190" s="1" customFormat="1" ht="18" customHeight="1" x14ac:dyDescent="0.2">
      <c r="GE3141"/>
      <c r="GF3141"/>
      <c r="GG3141"/>
      <c r="GH3141"/>
    </row>
    <row r="3142" spans="187:190" s="1" customFormat="1" ht="18" customHeight="1" x14ac:dyDescent="0.2">
      <c r="GE3142"/>
      <c r="GF3142"/>
      <c r="GG3142"/>
      <c r="GH3142"/>
    </row>
    <row r="3143" spans="187:190" s="1" customFormat="1" ht="18" customHeight="1" x14ac:dyDescent="0.2">
      <c r="GE3143"/>
      <c r="GF3143"/>
      <c r="GG3143"/>
      <c r="GH3143"/>
    </row>
    <row r="3144" spans="187:190" s="1" customFormat="1" ht="18" customHeight="1" x14ac:dyDescent="0.2">
      <c r="GE3144"/>
      <c r="GF3144"/>
      <c r="GG3144"/>
      <c r="GH3144"/>
    </row>
    <row r="3145" spans="187:190" s="1" customFormat="1" ht="18" customHeight="1" x14ac:dyDescent="0.2">
      <c r="GE3145"/>
      <c r="GF3145"/>
      <c r="GG3145"/>
      <c r="GH3145"/>
    </row>
    <row r="3146" spans="187:190" s="1" customFormat="1" ht="18" customHeight="1" x14ac:dyDescent="0.2">
      <c r="GE3146"/>
      <c r="GF3146"/>
      <c r="GG3146"/>
      <c r="GH3146"/>
    </row>
    <row r="3147" spans="187:190" s="1" customFormat="1" ht="18" customHeight="1" x14ac:dyDescent="0.2">
      <c r="GE3147"/>
      <c r="GF3147"/>
      <c r="GG3147"/>
      <c r="GH3147"/>
    </row>
    <row r="3148" spans="187:190" s="1" customFormat="1" ht="18" customHeight="1" x14ac:dyDescent="0.2">
      <c r="GE3148"/>
      <c r="GF3148"/>
      <c r="GG3148"/>
      <c r="GH3148"/>
    </row>
    <row r="3149" spans="187:190" s="1" customFormat="1" ht="18" customHeight="1" x14ac:dyDescent="0.2">
      <c r="GE3149"/>
      <c r="GF3149"/>
      <c r="GG3149"/>
      <c r="GH3149"/>
    </row>
    <row r="3150" spans="187:190" s="1" customFormat="1" ht="18" customHeight="1" x14ac:dyDescent="0.2">
      <c r="GE3150"/>
      <c r="GF3150"/>
      <c r="GG3150"/>
      <c r="GH3150"/>
    </row>
    <row r="3151" spans="187:190" s="1" customFormat="1" ht="18" customHeight="1" x14ac:dyDescent="0.2">
      <c r="GE3151"/>
      <c r="GF3151"/>
      <c r="GG3151"/>
      <c r="GH3151"/>
    </row>
    <row r="3152" spans="187:190" s="1" customFormat="1" ht="18" customHeight="1" x14ac:dyDescent="0.2">
      <c r="GE3152"/>
      <c r="GF3152"/>
      <c r="GG3152"/>
      <c r="GH3152"/>
    </row>
    <row r="3153" spans="187:190" s="1" customFormat="1" ht="18" customHeight="1" x14ac:dyDescent="0.2">
      <c r="GE3153"/>
      <c r="GF3153"/>
      <c r="GG3153"/>
      <c r="GH3153"/>
    </row>
    <row r="3154" spans="187:190" s="1" customFormat="1" ht="18" customHeight="1" x14ac:dyDescent="0.2">
      <c r="GE3154"/>
      <c r="GF3154"/>
      <c r="GG3154"/>
      <c r="GH3154"/>
    </row>
    <row r="3155" spans="187:190" s="1" customFormat="1" ht="18" customHeight="1" x14ac:dyDescent="0.2">
      <c r="GE3155"/>
      <c r="GF3155"/>
      <c r="GG3155"/>
      <c r="GH3155"/>
    </row>
    <row r="3156" spans="187:190" s="1" customFormat="1" ht="18" customHeight="1" x14ac:dyDescent="0.2">
      <c r="GE3156"/>
      <c r="GF3156"/>
      <c r="GG3156"/>
      <c r="GH3156"/>
    </row>
    <row r="3157" spans="187:190" s="1" customFormat="1" ht="18" customHeight="1" x14ac:dyDescent="0.2">
      <c r="GE3157"/>
      <c r="GF3157"/>
      <c r="GG3157"/>
      <c r="GH3157"/>
    </row>
    <row r="3158" spans="187:190" s="1" customFormat="1" ht="18" customHeight="1" x14ac:dyDescent="0.2">
      <c r="GE3158"/>
      <c r="GF3158"/>
      <c r="GG3158"/>
      <c r="GH3158"/>
    </row>
    <row r="3159" spans="187:190" s="1" customFormat="1" ht="18" customHeight="1" x14ac:dyDescent="0.2">
      <c r="GE3159"/>
      <c r="GF3159"/>
      <c r="GG3159"/>
      <c r="GH3159"/>
    </row>
    <row r="3160" spans="187:190" s="1" customFormat="1" ht="18" customHeight="1" x14ac:dyDescent="0.2">
      <c r="GE3160"/>
      <c r="GF3160"/>
      <c r="GG3160"/>
      <c r="GH3160"/>
    </row>
    <row r="3161" spans="187:190" s="1" customFormat="1" ht="18" customHeight="1" x14ac:dyDescent="0.2">
      <c r="GE3161"/>
      <c r="GF3161"/>
      <c r="GG3161"/>
      <c r="GH3161"/>
    </row>
    <row r="3162" spans="187:190" s="1" customFormat="1" ht="18" customHeight="1" x14ac:dyDescent="0.2">
      <c r="GE3162"/>
      <c r="GF3162"/>
      <c r="GG3162"/>
      <c r="GH3162"/>
    </row>
    <row r="3163" spans="187:190" s="1" customFormat="1" ht="18" customHeight="1" x14ac:dyDescent="0.2">
      <c r="GE3163"/>
      <c r="GF3163"/>
      <c r="GG3163"/>
      <c r="GH3163"/>
    </row>
    <row r="3164" spans="187:190" s="1" customFormat="1" ht="18" customHeight="1" x14ac:dyDescent="0.2">
      <c r="GE3164"/>
      <c r="GF3164"/>
      <c r="GG3164"/>
      <c r="GH3164"/>
    </row>
    <row r="3165" spans="187:190" s="1" customFormat="1" ht="18" customHeight="1" x14ac:dyDescent="0.2">
      <c r="GE3165"/>
      <c r="GF3165"/>
      <c r="GG3165"/>
      <c r="GH3165"/>
    </row>
    <row r="3166" spans="187:190" s="1" customFormat="1" ht="18" customHeight="1" x14ac:dyDescent="0.2">
      <c r="GE3166"/>
      <c r="GF3166"/>
      <c r="GG3166"/>
      <c r="GH3166"/>
    </row>
    <row r="3167" spans="187:190" s="1" customFormat="1" ht="18" customHeight="1" x14ac:dyDescent="0.2">
      <c r="GE3167"/>
      <c r="GF3167"/>
      <c r="GG3167"/>
      <c r="GH3167"/>
    </row>
    <row r="3168" spans="187:190" s="1" customFormat="1" ht="18" customHeight="1" x14ac:dyDescent="0.2">
      <c r="GE3168"/>
      <c r="GF3168"/>
      <c r="GG3168"/>
      <c r="GH3168"/>
    </row>
    <row r="3169" spans="187:190" s="1" customFormat="1" ht="18" customHeight="1" x14ac:dyDescent="0.2">
      <c r="GE3169"/>
      <c r="GF3169"/>
      <c r="GG3169"/>
      <c r="GH3169"/>
    </row>
    <row r="3170" spans="187:190" s="1" customFormat="1" ht="18" customHeight="1" x14ac:dyDescent="0.2">
      <c r="GE3170"/>
      <c r="GF3170"/>
      <c r="GG3170"/>
      <c r="GH3170"/>
    </row>
    <row r="3171" spans="187:190" s="1" customFormat="1" ht="18" customHeight="1" x14ac:dyDescent="0.2">
      <c r="GE3171"/>
      <c r="GF3171"/>
      <c r="GG3171"/>
      <c r="GH3171"/>
    </row>
    <row r="3172" spans="187:190" s="1" customFormat="1" ht="18" customHeight="1" x14ac:dyDescent="0.2">
      <c r="GE3172"/>
      <c r="GF3172"/>
      <c r="GG3172"/>
      <c r="GH3172"/>
    </row>
    <row r="3173" spans="187:190" s="1" customFormat="1" ht="18" customHeight="1" x14ac:dyDescent="0.2">
      <c r="GE3173"/>
      <c r="GF3173"/>
      <c r="GG3173"/>
      <c r="GH3173"/>
    </row>
    <row r="3174" spans="187:190" s="1" customFormat="1" ht="18" customHeight="1" x14ac:dyDescent="0.2">
      <c r="GE3174"/>
      <c r="GF3174"/>
      <c r="GG3174"/>
      <c r="GH3174"/>
    </row>
    <row r="3175" spans="187:190" s="1" customFormat="1" ht="18" customHeight="1" x14ac:dyDescent="0.2">
      <c r="GE3175"/>
      <c r="GF3175"/>
      <c r="GG3175"/>
      <c r="GH3175"/>
    </row>
    <row r="3176" spans="187:190" s="1" customFormat="1" ht="18" customHeight="1" x14ac:dyDescent="0.2">
      <c r="GE3176"/>
      <c r="GF3176"/>
      <c r="GG3176"/>
      <c r="GH3176"/>
    </row>
    <row r="3177" spans="187:190" s="1" customFormat="1" ht="18" customHeight="1" x14ac:dyDescent="0.2">
      <c r="GE3177"/>
      <c r="GF3177"/>
      <c r="GG3177"/>
      <c r="GH3177"/>
    </row>
    <row r="3178" spans="187:190" s="1" customFormat="1" ht="18" customHeight="1" x14ac:dyDescent="0.2">
      <c r="GE3178"/>
      <c r="GF3178"/>
      <c r="GG3178"/>
      <c r="GH3178"/>
    </row>
    <row r="3179" spans="187:190" s="1" customFormat="1" ht="18" customHeight="1" x14ac:dyDescent="0.2">
      <c r="GE3179"/>
      <c r="GF3179"/>
      <c r="GG3179"/>
      <c r="GH3179"/>
    </row>
    <row r="3180" spans="187:190" s="1" customFormat="1" ht="18" customHeight="1" x14ac:dyDescent="0.2">
      <c r="GE3180"/>
      <c r="GF3180"/>
      <c r="GG3180"/>
      <c r="GH3180"/>
    </row>
    <row r="3181" spans="187:190" s="1" customFormat="1" ht="18" customHeight="1" x14ac:dyDescent="0.2">
      <c r="GE3181"/>
      <c r="GF3181"/>
      <c r="GG3181"/>
      <c r="GH3181"/>
    </row>
    <row r="3182" spans="187:190" s="1" customFormat="1" ht="18" customHeight="1" x14ac:dyDescent="0.2">
      <c r="GE3182"/>
      <c r="GF3182"/>
      <c r="GG3182"/>
      <c r="GH3182"/>
    </row>
    <row r="3183" spans="187:190" s="1" customFormat="1" ht="18" customHeight="1" x14ac:dyDescent="0.2">
      <c r="GE3183"/>
      <c r="GF3183"/>
      <c r="GG3183"/>
      <c r="GH3183"/>
    </row>
    <row r="3184" spans="187:190" s="1" customFormat="1" ht="18" customHeight="1" x14ac:dyDescent="0.2">
      <c r="GE3184"/>
      <c r="GF3184"/>
      <c r="GG3184"/>
      <c r="GH3184"/>
    </row>
    <row r="3185" spans="187:190" s="1" customFormat="1" ht="18" customHeight="1" x14ac:dyDescent="0.2">
      <c r="GE3185"/>
      <c r="GF3185"/>
      <c r="GG3185"/>
      <c r="GH3185"/>
    </row>
    <row r="3186" spans="187:190" s="1" customFormat="1" ht="18" customHeight="1" x14ac:dyDescent="0.2">
      <c r="GE3186"/>
      <c r="GF3186"/>
      <c r="GG3186"/>
      <c r="GH3186"/>
    </row>
    <row r="3187" spans="187:190" s="1" customFormat="1" ht="18" customHeight="1" x14ac:dyDescent="0.2">
      <c r="GE3187"/>
      <c r="GF3187"/>
      <c r="GG3187"/>
      <c r="GH3187"/>
    </row>
    <row r="3188" spans="187:190" s="1" customFormat="1" ht="18" customHeight="1" x14ac:dyDescent="0.2">
      <c r="GE3188"/>
      <c r="GF3188"/>
      <c r="GG3188"/>
      <c r="GH3188"/>
    </row>
    <row r="3189" spans="187:190" s="1" customFormat="1" ht="18" customHeight="1" x14ac:dyDescent="0.2">
      <c r="GE3189"/>
      <c r="GF3189"/>
      <c r="GG3189"/>
      <c r="GH3189"/>
    </row>
    <row r="3190" spans="187:190" s="1" customFormat="1" ht="18" customHeight="1" x14ac:dyDescent="0.2">
      <c r="GE3190"/>
      <c r="GF3190"/>
      <c r="GG3190"/>
      <c r="GH3190"/>
    </row>
    <row r="3191" spans="187:190" s="1" customFormat="1" ht="18" customHeight="1" x14ac:dyDescent="0.2">
      <c r="GE3191"/>
      <c r="GF3191"/>
      <c r="GG3191"/>
      <c r="GH3191"/>
    </row>
    <row r="3192" spans="187:190" s="1" customFormat="1" ht="18" customHeight="1" x14ac:dyDescent="0.2">
      <c r="GE3192"/>
      <c r="GF3192"/>
      <c r="GG3192"/>
      <c r="GH3192"/>
    </row>
    <row r="3193" spans="187:190" s="1" customFormat="1" ht="18" customHeight="1" x14ac:dyDescent="0.2">
      <c r="GE3193"/>
      <c r="GF3193"/>
      <c r="GG3193"/>
      <c r="GH3193"/>
    </row>
    <row r="3194" spans="187:190" s="1" customFormat="1" ht="18" customHeight="1" x14ac:dyDescent="0.2">
      <c r="GE3194"/>
      <c r="GF3194"/>
      <c r="GG3194"/>
      <c r="GH3194"/>
    </row>
    <row r="3195" spans="187:190" s="1" customFormat="1" ht="18" customHeight="1" x14ac:dyDescent="0.2">
      <c r="GE3195"/>
      <c r="GF3195"/>
      <c r="GG3195"/>
      <c r="GH3195"/>
    </row>
    <row r="3196" spans="187:190" s="1" customFormat="1" ht="18" customHeight="1" x14ac:dyDescent="0.2">
      <c r="GE3196"/>
      <c r="GF3196"/>
      <c r="GG3196"/>
      <c r="GH3196"/>
    </row>
    <row r="3197" spans="187:190" s="1" customFormat="1" ht="18" customHeight="1" x14ac:dyDescent="0.2">
      <c r="GE3197"/>
      <c r="GF3197"/>
      <c r="GG3197"/>
      <c r="GH3197"/>
    </row>
    <row r="3198" spans="187:190" s="1" customFormat="1" ht="18" customHeight="1" x14ac:dyDescent="0.2">
      <c r="GE3198"/>
      <c r="GF3198"/>
      <c r="GG3198"/>
      <c r="GH3198"/>
    </row>
    <row r="3199" spans="187:190" s="1" customFormat="1" ht="18" customHeight="1" x14ac:dyDescent="0.2">
      <c r="GE3199"/>
      <c r="GF3199"/>
      <c r="GG3199"/>
      <c r="GH3199"/>
    </row>
    <row r="3200" spans="187:190" s="1" customFormat="1" ht="18" customHeight="1" x14ac:dyDescent="0.2">
      <c r="GE3200"/>
      <c r="GF3200"/>
      <c r="GG3200"/>
      <c r="GH3200"/>
    </row>
    <row r="3201" spans="187:190" s="1" customFormat="1" ht="18" customHeight="1" x14ac:dyDescent="0.2">
      <c r="GE3201"/>
      <c r="GF3201"/>
      <c r="GG3201"/>
      <c r="GH3201"/>
    </row>
    <row r="3202" spans="187:190" s="1" customFormat="1" ht="18" customHeight="1" x14ac:dyDescent="0.2">
      <c r="GE3202"/>
      <c r="GF3202"/>
      <c r="GG3202"/>
      <c r="GH3202"/>
    </row>
    <row r="3203" spans="187:190" s="1" customFormat="1" ht="18" customHeight="1" x14ac:dyDescent="0.2">
      <c r="GE3203"/>
      <c r="GF3203"/>
      <c r="GG3203"/>
      <c r="GH3203"/>
    </row>
    <row r="3204" spans="187:190" s="1" customFormat="1" ht="18" customHeight="1" x14ac:dyDescent="0.2">
      <c r="GE3204"/>
      <c r="GF3204"/>
      <c r="GG3204"/>
      <c r="GH3204"/>
    </row>
    <row r="3205" spans="187:190" s="1" customFormat="1" ht="18" customHeight="1" x14ac:dyDescent="0.2">
      <c r="GE3205"/>
      <c r="GF3205"/>
      <c r="GG3205"/>
      <c r="GH3205"/>
    </row>
    <row r="3206" spans="187:190" s="1" customFormat="1" ht="18" customHeight="1" x14ac:dyDescent="0.2">
      <c r="GE3206"/>
      <c r="GF3206"/>
      <c r="GG3206"/>
      <c r="GH3206"/>
    </row>
    <row r="3207" spans="187:190" s="1" customFormat="1" ht="18" customHeight="1" x14ac:dyDescent="0.2">
      <c r="GE3207"/>
      <c r="GF3207"/>
      <c r="GG3207"/>
      <c r="GH3207"/>
    </row>
    <row r="3208" spans="187:190" s="1" customFormat="1" ht="18" customHeight="1" x14ac:dyDescent="0.2">
      <c r="GE3208"/>
      <c r="GF3208"/>
      <c r="GG3208"/>
      <c r="GH3208"/>
    </row>
    <row r="3209" spans="187:190" s="1" customFormat="1" ht="18" customHeight="1" x14ac:dyDescent="0.2">
      <c r="GE3209"/>
      <c r="GF3209"/>
      <c r="GG3209"/>
      <c r="GH3209"/>
    </row>
    <row r="3210" spans="187:190" s="1" customFormat="1" ht="18" customHeight="1" x14ac:dyDescent="0.2">
      <c r="GE3210"/>
      <c r="GF3210"/>
      <c r="GG3210"/>
      <c r="GH3210"/>
    </row>
    <row r="3211" spans="187:190" s="1" customFormat="1" ht="18" customHeight="1" x14ac:dyDescent="0.2">
      <c r="GE3211"/>
      <c r="GF3211"/>
      <c r="GG3211"/>
      <c r="GH3211"/>
    </row>
    <row r="3212" spans="187:190" s="1" customFormat="1" ht="18" customHeight="1" x14ac:dyDescent="0.2">
      <c r="GE3212"/>
      <c r="GF3212"/>
      <c r="GG3212"/>
      <c r="GH3212"/>
    </row>
    <row r="3213" spans="187:190" s="1" customFormat="1" ht="18" customHeight="1" x14ac:dyDescent="0.2">
      <c r="GE3213"/>
      <c r="GF3213"/>
      <c r="GG3213"/>
      <c r="GH3213"/>
    </row>
    <row r="3214" spans="187:190" s="1" customFormat="1" ht="18" customHeight="1" x14ac:dyDescent="0.2">
      <c r="GE3214"/>
      <c r="GF3214"/>
      <c r="GG3214"/>
      <c r="GH3214"/>
    </row>
    <row r="3215" spans="187:190" s="1" customFormat="1" ht="18" customHeight="1" x14ac:dyDescent="0.2">
      <c r="GE3215"/>
      <c r="GF3215"/>
      <c r="GG3215"/>
      <c r="GH3215"/>
    </row>
    <row r="3216" spans="187:190" s="1" customFormat="1" ht="18" customHeight="1" x14ac:dyDescent="0.2">
      <c r="GE3216"/>
      <c r="GF3216"/>
      <c r="GG3216"/>
      <c r="GH3216"/>
    </row>
    <row r="3217" spans="187:190" s="1" customFormat="1" ht="18" customHeight="1" x14ac:dyDescent="0.2">
      <c r="GE3217"/>
      <c r="GF3217"/>
      <c r="GG3217"/>
      <c r="GH3217"/>
    </row>
    <row r="3218" spans="187:190" s="1" customFormat="1" ht="18" customHeight="1" x14ac:dyDescent="0.2">
      <c r="GE3218"/>
      <c r="GF3218"/>
      <c r="GG3218"/>
      <c r="GH3218"/>
    </row>
    <row r="3219" spans="187:190" s="1" customFormat="1" ht="18" customHeight="1" x14ac:dyDescent="0.2">
      <c r="GE3219"/>
      <c r="GF3219"/>
      <c r="GG3219"/>
      <c r="GH3219"/>
    </row>
    <row r="3220" spans="187:190" s="1" customFormat="1" ht="18" customHeight="1" x14ac:dyDescent="0.2">
      <c r="GE3220"/>
      <c r="GF3220"/>
      <c r="GG3220"/>
      <c r="GH3220"/>
    </row>
    <row r="3221" spans="187:190" s="1" customFormat="1" ht="18" customHeight="1" x14ac:dyDescent="0.2">
      <c r="GE3221"/>
      <c r="GF3221"/>
      <c r="GG3221"/>
      <c r="GH3221"/>
    </row>
    <row r="3222" spans="187:190" s="1" customFormat="1" ht="18" customHeight="1" x14ac:dyDescent="0.2">
      <c r="GE3222"/>
      <c r="GF3222"/>
      <c r="GG3222"/>
      <c r="GH3222"/>
    </row>
    <row r="3223" spans="187:190" s="1" customFormat="1" ht="18" customHeight="1" x14ac:dyDescent="0.2">
      <c r="GE3223"/>
      <c r="GF3223"/>
      <c r="GG3223"/>
      <c r="GH3223"/>
    </row>
    <row r="3224" spans="187:190" s="1" customFormat="1" ht="18" customHeight="1" x14ac:dyDescent="0.2">
      <c r="GE3224"/>
      <c r="GF3224"/>
      <c r="GG3224"/>
      <c r="GH3224"/>
    </row>
    <row r="3225" spans="187:190" s="1" customFormat="1" ht="18" customHeight="1" x14ac:dyDescent="0.2">
      <c r="GE3225"/>
      <c r="GF3225"/>
      <c r="GG3225"/>
      <c r="GH3225"/>
    </row>
    <row r="3226" spans="187:190" s="1" customFormat="1" ht="18" customHeight="1" x14ac:dyDescent="0.2">
      <c r="GE3226"/>
      <c r="GF3226"/>
      <c r="GG3226"/>
      <c r="GH3226"/>
    </row>
    <row r="3227" spans="187:190" s="1" customFormat="1" ht="18" customHeight="1" x14ac:dyDescent="0.2">
      <c r="GE3227"/>
      <c r="GF3227"/>
      <c r="GG3227"/>
      <c r="GH3227"/>
    </row>
    <row r="3228" spans="187:190" s="1" customFormat="1" ht="18" customHeight="1" x14ac:dyDescent="0.2">
      <c r="GE3228"/>
      <c r="GF3228"/>
      <c r="GG3228"/>
      <c r="GH3228"/>
    </row>
    <row r="3229" spans="187:190" s="1" customFormat="1" ht="18" customHeight="1" x14ac:dyDescent="0.2">
      <c r="GE3229"/>
      <c r="GF3229"/>
      <c r="GG3229"/>
      <c r="GH3229"/>
    </row>
    <row r="3230" spans="187:190" s="1" customFormat="1" ht="18" customHeight="1" x14ac:dyDescent="0.2">
      <c r="GE3230"/>
      <c r="GF3230"/>
      <c r="GG3230"/>
      <c r="GH3230"/>
    </row>
    <row r="3231" spans="187:190" s="1" customFormat="1" ht="18" customHeight="1" x14ac:dyDescent="0.2">
      <c r="GE3231"/>
      <c r="GF3231"/>
      <c r="GG3231"/>
      <c r="GH3231"/>
    </row>
    <row r="3232" spans="187:190" s="1" customFormat="1" ht="18" customHeight="1" x14ac:dyDescent="0.2">
      <c r="GE3232"/>
      <c r="GF3232"/>
      <c r="GG3232"/>
      <c r="GH3232"/>
    </row>
    <row r="3233" spans="187:190" s="1" customFormat="1" ht="18" customHeight="1" x14ac:dyDescent="0.2">
      <c r="GE3233"/>
      <c r="GF3233"/>
      <c r="GG3233"/>
      <c r="GH3233"/>
    </row>
    <row r="3234" spans="187:190" s="1" customFormat="1" ht="18" customHeight="1" x14ac:dyDescent="0.2">
      <c r="GE3234"/>
      <c r="GF3234"/>
      <c r="GG3234"/>
      <c r="GH3234"/>
    </row>
    <row r="3235" spans="187:190" s="1" customFormat="1" ht="18" customHeight="1" x14ac:dyDescent="0.2">
      <c r="GE3235"/>
      <c r="GF3235"/>
      <c r="GG3235"/>
      <c r="GH3235"/>
    </row>
    <row r="3236" spans="187:190" s="1" customFormat="1" ht="18" customHeight="1" x14ac:dyDescent="0.2">
      <c r="GE3236"/>
      <c r="GF3236"/>
      <c r="GG3236"/>
      <c r="GH3236"/>
    </row>
    <row r="3237" spans="187:190" s="1" customFormat="1" ht="18" customHeight="1" x14ac:dyDescent="0.2">
      <c r="GE3237"/>
      <c r="GF3237"/>
      <c r="GG3237"/>
      <c r="GH3237"/>
    </row>
    <row r="3238" spans="187:190" s="1" customFormat="1" ht="18" customHeight="1" x14ac:dyDescent="0.2">
      <c r="GE3238"/>
      <c r="GF3238"/>
      <c r="GG3238"/>
      <c r="GH3238"/>
    </row>
    <row r="3239" spans="187:190" s="1" customFormat="1" ht="18" customHeight="1" x14ac:dyDescent="0.2">
      <c r="GE3239"/>
      <c r="GF3239"/>
      <c r="GG3239"/>
      <c r="GH3239"/>
    </row>
    <row r="3240" spans="187:190" s="1" customFormat="1" ht="18" customHeight="1" x14ac:dyDescent="0.2">
      <c r="GE3240"/>
      <c r="GF3240"/>
      <c r="GG3240"/>
      <c r="GH3240"/>
    </row>
    <row r="3241" spans="187:190" s="1" customFormat="1" ht="18" customHeight="1" x14ac:dyDescent="0.2">
      <c r="GE3241"/>
      <c r="GF3241"/>
      <c r="GG3241"/>
      <c r="GH3241"/>
    </row>
    <row r="3242" spans="187:190" s="1" customFormat="1" ht="18" customHeight="1" x14ac:dyDescent="0.2">
      <c r="GE3242"/>
      <c r="GF3242"/>
      <c r="GG3242"/>
      <c r="GH3242"/>
    </row>
    <row r="3243" spans="187:190" s="1" customFormat="1" ht="18" customHeight="1" x14ac:dyDescent="0.2">
      <c r="GE3243"/>
      <c r="GF3243"/>
      <c r="GG3243"/>
      <c r="GH3243"/>
    </row>
    <row r="3244" spans="187:190" s="1" customFormat="1" ht="18" customHeight="1" x14ac:dyDescent="0.2">
      <c r="GE3244"/>
      <c r="GF3244"/>
      <c r="GG3244"/>
      <c r="GH3244"/>
    </row>
    <row r="3245" spans="187:190" s="1" customFormat="1" ht="18" customHeight="1" x14ac:dyDescent="0.2">
      <c r="GE3245"/>
      <c r="GF3245"/>
      <c r="GG3245"/>
      <c r="GH3245"/>
    </row>
    <row r="3246" spans="187:190" s="1" customFormat="1" ht="18" customHeight="1" x14ac:dyDescent="0.2">
      <c r="GE3246"/>
      <c r="GF3246"/>
      <c r="GG3246"/>
      <c r="GH3246"/>
    </row>
    <row r="3247" spans="187:190" s="1" customFormat="1" ht="18" customHeight="1" x14ac:dyDescent="0.2">
      <c r="GE3247"/>
      <c r="GF3247"/>
      <c r="GG3247"/>
      <c r="GH3247"/>
    </row>
    <row r="3248" spans="187:190" s="1" customFormat="1" ht="18" customHeight="1" x14ac:dyDescent="0.2">
      <c r="GE3248"/>
      <c r="GF3248"/>
      <c r="GG3248"/>
      <c r="GH3248"/>
    </row>
    <row r="3249" spans="187:190" s="1" customFormat="1" ht="18" customHeight="1" x14ac:dyDescent="0.2">
      <c r="GE3249"/>
      <c r="GF3249"/>
      <c r="GG3249"/>
      <c r="GH3249"/>
    </row>
    <row r="3250" spans="187:190" s="1" customFormat="1" ht="18" customHeight="1" x14ac:dyDescent="0.2">
      <c r="GE3250"/>
      <c r="GF3250"/>
      <c r="GG3250"/>
      <c r="GH3250"/>
    </row>
    <row r="3251" spans="187:190" s="1" customFormat="1" ht="18" customHeight="1" x14ac:dyDescent="0.2">
      <c r="GE3251"/>
      <c r="GF3251"/>
      <c r="GG3251"/>
      <c r="GH3251"/>
    </row>
    <row r="3252" spans="187:190" s="1" customFormat="1" ht="18" customHeight="1" x14ac:dyDescent="0.2">
      <c r="GE3252"/>
      <c r="GF3252"/>
      <c r="GG3252"/>
      <c r="GH3252"/>
    </row>
    <row r="3253" spans="187:190" s="1" customFormat="1" ht="18" customHeight="1" x14ac:dyDescent="0.2">
      <c r="GE3253"/>
      <c r="GF3253"/>
      <c r="GG3253"/>
      <c r="GH3253"/>
    </row>
    <row r="3254" spans="187:190" s="1" customFormat="1" ht="18" customHeight="1" x14ac:dyDescent="0.2">
      <c r="GE3254"/>
      <c r="GF3254"/>
      <c r="GG3254"/>
      <c r="GH3254"/>
    </row>
    <row r="3255" spans="187:190" s="1" customFormat="1" ht="18" customHeight="1" x14ac:dyDescent="0.2">
      <c r="GE3255"/>
      <c r="GF3255"/>
      <c r="GG3255"/>
      <c r="GH3255"/>
    </row>
    <row r="3256" spans="187:190" s="1" customFormat="1" ht="18" customHeight="1" x14ac:dyDescent="0.2">
      <c r="GE3256"/>
      <c r="GF3256"/>
      <c r="GG3256"/>
      <c r="GH3256"/>
    </row>
    <row r="3257" spans="187:190" s="1" customFormat="1" ht="18" customHeight="1" x14ac:dyDescent="0.2">
      <c r="GE3257"/>
      <c r="GF3257"/>
      <c r="GG3257"/>
      <c r="GH3257"/>
    </row>
    <row r="3258" spans="187:190" s="1" customFormat="1" ht="18" customHeight="1" x14ac:dyDescent="0.2">
      <c r="GE3258"/>
      <c r="GF3258"/>
      <c r="GG3258"/>
      <c r="GH3258"/>
    </row>
    <row r="3259" spans="187:190" s="1" customFormat="1" ht="18" customHeight="1" x14ac:dyDescent="0.2">
      <c r="GE3259"/>
      <c r="GF3259"/>
      <c r="GG3259"/>
      <c r="GH3259"/>
    </row>
    <row r="3260" spans="187:190" s="1" customFormat="1" ht="18" customHeight="1" x14ac:dyDescent="0.2">
      <c r="GE3260"/>
      <c r="GF3260"/>
      <c r="GG3260"/>
      <c r="GH3260"/>
    </row>
    <row r="3261" spans="187:190" s="1" customFormat="1" ht="18" customHeight="1" x14ac:dyDescent="0.2">
      <c r="GE3261"/>
      <c r="GF3261"/>
      <c r="GG3261"/>
      <c r="GH3261"/>
    </row>
    <row r="3262" spans="187:190" s="1" customFormat="1" ht="18" customHeight="1" x14ac:dyDescent="0.2">
      <c r="GE3262"/>
      <c r="GF3262"/>
      <c r="GG3262"/>
      <c r="GH3262"/>
    </row>
    <row r="3263" spans="187:190" s="1" customFormat="1" ht="18" customHeight="1" x14ac:dyDescent="0.2">
      <c r="GE3263"/>
      <c r="GF3263"/>
      <c r="GG3263"/>
      <c r="GH3263"/>
    </row>
    <row r="3264" spans="187:190" s="1" customFormat="1" ht="18" customHeight="1" x14ac:dyDescent="0.2">
      <c r="GE3264"/>
      <c r="GF3264"/>
      <c r="GG3264"/>
      <c r="GH3264"/>
    </row>
    <row r="3265" spans="187:190" s="1" customFormat="1" ht="18" customHeight="1" x14ac:dyDescent="0.2">
      <c r="GE3265"/>
      <c r="GF3265"/>
      <c r="GG3265"/>
      <c r="GH3265"/>
    </row>
    <row r="3266" spans="187:190" s="1" customFormat="1" ht="18" customHeight="1" x14ac:dyDescent="0.2">
      <c r="GE3266"/>
      <c r="GF3266"/>
      <c r="GG3266"/>
      <c r="GH3266"/>
    </row>
    <row r="3267" spans="187:190" s="1" customFormat="1" ht="18" customHeight="1" x14ac:dyDescent="0.2">
      <c r="GE3267"/>
      <c r="GF3267"/>
      <c r="GG3267"/>
      <c r="GH3267"/>
    </row>
    <row r="3268" spans="187:190" s="1" customFormat="1" ht="18" customHeight="1" x14ac:dyDescent="0.2">
      <c r="GE3268"/>
      <c r="GF3268"/>
      <c r="GG3268"/>
      <c r="GH3268"/>
    </row>
    <row r="3269" spans="187:190" s="1" customFormat="1" ht="18" customHeight="1" x14ac:dyDescent="0.2">
      <c r="GE3269"/>
      <c r="GF3269"/>
      <c r="GG3269"/>
      <c r="GH3269"/>
    </row>
    <row r="3270" spans="187:190" s="1" customFormat="1" ht="18" customHeight="1" x14ac:dyDescent="0.2">
      <c r="GE3270"/>
      <c r="GF3270"/>
      <c r="GG3270"/>
      <c r="GH3270"/>
    </row>
    <row r="3271" spans="187:190" s="1" customFormat="1" ht="18" customHeight="1" x14ac:dyDescent="0.2">
      <c r="GE3271"/>
      <c r="GF3271"/>
      <c r="GG3271"/>
      <c r="GH3271"/>
    </row>
    <row r="3272" spans="187:190" s="1" customFormat="1" ht="18" customHeight="1" x14ac:dyDescent="0.2">
      <c r="GE3272"/>
      <c r="GF3272"/>
      <c r="GG3272"/>
      <c r="GH3272"/>
    </row>
    <row r="3273" spans="187:190" s="1" customFormat="1" ht="18" customHeight="1" x14ac:dyDescent="0.2">
      <c r="GE3273"/>
      <c r="GF3273"/>
      <c r="GG3273"/>
      <c r="GH3273"/>
    </row>
    <row r="3274" spans="187:190" s="1" customFormat="1" ht="18" customHeight="1" x14ac:dyDescent="0.2">
      <c r="GE3274"/>
      <c r="GF3274"/>
      <c r="GG3274"/>
      <c r="GH3274"/>
    </row>
    <row r="3275" spans="187:190" s="1" customFormat="1" ht="18" customHeight="1" x14ac:dyDescent="0.2">
      <c r="GE3275"/>
      <c r="GF3275"/>
      <c r="GG3275"/>
      <c r="GH3275"/>
    </row>
    <row r="3276" spans="187:190" s="1" customFormat="1" ht="18" customHeight="1" x14ac:dyDescent="0.2">
      <c r="GE3276"/>
      <c r="GF3276"/>
      <c r="GG3276"/>
      <c r="GH3276"/>
    </row>
    <row r="3277" spans="187:190" s="1" customFormat="1" ht="18" customHeight="1" x14ac:dyDescent="0.2">
      <c r="GE3277"/>
      <c r="GF3277"/>
      <c r="GG3277"/>
      <c r="GH3277"/>
    </row>
    <row r="3278" spans="187:190" s="1" customFormat="1" ht="18" customHeight="1" x14ac:dyDescent="0.2">
      <c r="GE3278"/>
      <c r="GF3278"/>
      <c r="GG3278"/>
      <c r="GH3278"/>
    </row>
    <row r="3279" spans="187:190" s="1" customFormat="1" ht="18" customHeight="1" x14ac:dyDescent="0.2">
      <c r="GE3279"/>
      <c r="GF3279"/>
      <c r="GG3279"/>
      <c r="GH3279"/>
    </row>
    <row r="3280" spans="187:190" s="1" customFormat="1" ht="18" customHeight="1" x14ac:dyDescent="0.2">
      <c r="GE3280"/>
      <c r="GF3280"/>
      <c r="GG3280"/>
      <c r="GH3280"/>
    </row>
    <row r="3281" spans="187:190" s="1" customFormat="1" ht="18" customHeight="1" x14ac:dyDescent="0.2">
      <c r="GE3281"/>
      <c r="GF3281"/>
      <c r="GG3281"/>
      <c r="GH3281"/>
    </row>
    <row r="3282" spans="187:190" s="1" customFormat="1" ht="18" customHeight="1" x14ac:dyDescent="0.2">
      <c r="GE3282"/>
      <c r="GF3282"/>
      <c r="GG3282"/>
      <c r="GH3282"/>
    </row>
    <row r="3283" spans="187:190" s="1" customFormat="1" ht="18" customHeight="1" x14ac:dyDescent="0.2">
      <c r="GE3283"/>
      <c r="GF3283"/>
      <c r="GG3283"/>
      <c r="GH3283"/>
    </row>
    <row r="3284" spans="187:190" s="1" customFormat="1" ht="18" customHeight="1" x14ac:dyDescent="0.2">
      <c r="GE3284"/>
      <c r="GF3284"/>
      <c r="GG3284"/>
      <c r="GH3284"/>
    </row>
    <row r="3285" spans="187:190" s="1" customFormat="1" ht="18" customHeight="1" x14ac:dyDescent="0.2">
      <c r="GE3285"/>
      <c r="GF3285"/>
      <c r="GG3285"/>
      <c r="GH3285"/>
    </row>
    <row r="3286" spans="187:190" s="1" customFormat="1" ht="18" customHeight="1" x14ac:dyDescent="0.2">
      <c r="GE3286"/>
      <c r="GF3286"/>
      <c r="GG3286"/>
      <c r="GH3286"/>
    </row>
    <row r="3287" spans="187:190" s="1" customFormat="1" ht="18" customHeight="1" x14ac:dyDescent="0.2">
      <c r="GE3287"/>
      <c r="GF3287"/>
      <c r="GG3287"/>
      <c r="GH3287"/>
    </row>
    <row r="3288" spans="187:190" s="1" customFormat="1" ht="18" customHeight="1" x14ac:dyDescent="0.2">
      <c r="GE3288"/>
      <c r="GF3288"/>
      <c r="GG3288"/>
      <c r="GH3288"/>
    </row>
    <row r="3289" spans="187:190" s="1" customFormat="1" ht="18" customHeight="1" x14ac:dyDescent="0.2">
      <c r="GE3289"/>
      <c r="GF3289"/>
      <c r="GG3289"/>
      <c r="GH3289"/>
    </row>
    <row r="3290" spans="187:190" s="1" customFormat="1" ht="18" customHeight="1" x14ac:dyDescent="0.2">
      <c r="GE3290"/>
      <c r="GF3290"/>
      <c r="GG3290"/>
      <c r="GH3290"/>
    </row>
    <row r="3291" spans="187:190" s="1" customFormat="1" ht="18" customHeight="1" x14ac:dyDescent="0.2">
      <c r="GE3291"/>
      <c r="GF3291"/>
      <c r="GG3291"/>
      <c r="GH3291"/>
    </row>
    <row r="3292" spans="187:190" s="1" customFormat="1" ht="18" customHeight="1" x14ac:dyDescent="0.2">
      <c r="GE3292"/>
      <c r="GF3292"/>
      <c r="GG3292"/>
      <c r="GH3292"/>
    </row>
    <row r="3293" spans="187:190" s="1" customFormat="1" ht="18" customHeight="1" x14ac:dyDescent="0.2">
      <c r="GE3293"/>
      <c r="GF3293"/>
      <c r="GG3293"/>
      <c r="GH3293"/>
    </row>
    <row r="3294" spans="187:190" s="1" customFormat="1" ht="18" customHeight="1" x14ac:dyDescent="0.2">
      <c r="GE3294"/>
      <c r="GF3294"/>
      <c r="GG3294"/>
      <c r="GH3294"/>
    </row>
    <row r="3295" spans="187:190" s="1" customFormat="1" ht="18" customHeight="1" x14ac:dyDescent="0.2">
      <c r="GE3295"/>
      <c r="GF3295"/>
      <c r="GG3295"/>
      <c r="GH3295"/>
    </row>
    <row r="3296" spans="187:190" s="1" customFormat="1" ht="18" customHeight="1" x14ac:dyDescent="0.2">
      <c r="GE3296"/>
      <c r="GF3296"/>
      <c r="GG3296"/>
      <c r="GH3296"/>
    </row>
    <row r="3297" spans="187:190" s="1" customFormat="1" ht="18" customHeight="1" x14ac:dyDescent="0.2">
      <c r="GE3297"/>
      <c r="GF3297"/>
      <c r="GG3297"/>
      <c r="GH3297"/>
    </row>
    <row r="3298" spans="187:190" s="1" customFormat="1" ht="18" customHeight="1" x14ac:dyDescent="0.2">
      <c r="GE3298"/>
      <c r="GF3298"/>
      <c r="GG3298"/>
      <c r="GH3298"/>
    </row>
    <row r="3299" spans="187:190" s="1" customFormat="1" ht="18" customHeight="1" x14ac:dyDescent="0.2">
      <c r="GE3299"/>
      <c r="GF3299"/>
      <c r="GG3299"/>
      <c r="GH3299"/>
    </row>
    <row r="3300" spans="187:190" s="1" customFormat="1" ht="18" customHeight="1" x14ac:dyDescent="0.2">
      <c r="GE3300"/>
      <c r="GF3300"/>
      <c r="GG3300"/>
      <c r="GH3300"/>
    </row>
    <row r="3301" spans="187:190" s="1" customFormat="1" ht="18" customHeight="1" x14ac:dyDescent="0.2">
      <c r="GE3301"/>
      <c r="GF3301"/>
      <c r="GG3301"/>
      <c r="GH3301"/>
    </row>
    <row r="3302" spans="187:190" s="1" customFormat="1" ht="18" customHeight="1" x14ac:dyDescent="0.2">
      <c r="GE3302"/>
      <c r="GF3302"/>
      <c r="GG3302"/>
      <c r="GH3302"/>
    </row>
    <row r="3303" spans="187:190" s="1" customFormat="1" ht="18" customHeight="1" x14ac:dyDescent="0.2">
      <c r="GE3303"/>
      <c r="GF3303"/>
      <c r="GG3303"/>
      <c r="GH3303"/>
    </row>
    <row r="3304" spans="187:190" s="1" customFormat="1" ht="18" customHeight="1" x14ac:dyDescent="0.2">
      <c r="GE3304"/>
      <c r="GF3304"/>
      <c r="GG3304"/>
      <c r="GH3304"/>
    </row>
    <row r="3305" spans="187:190" s="1" customFormat="1" ht="18" customHeight="1" x14ac:dyDescent="0.2">
      <c r="GE3305"/>
      <c r="GF3305"/>
      <c r="GG3305"/>
      <c r="GH3305"/>
    </row>
    <row r="3306" spans="187:190" s="1" customFormat="1" ht="18" customHeight="1" x14ac:dyDescent="0.2">
      <c r="GE3306"/>
      <c r="GF3306"/>
      <c r="GG3306"/>
      <c r="GH3306"/>
    </row>
    <row r="3307" spans="187:190" s="1" customFormat="1" ht="18" customHeight="1" x14ac:dyDescent="0.2">
      <c r="GE3307"/>
      <c r="GF3307"/>
      <c r="GG3307"/>
      <c r="GH3307"/>
    </row>
    <row r="3308" spans="187:190" s="1" customFormat="1" ht="18" customHeight="1" x14ac:dyDescent="0.2">
      <c r="GE3308"/>
      <c r="GF3308"/>
      <c r="GG3308"/>
      <c r="GH3308"/>
    </row>
    <row r="3309" spans="187:190" s="1" customFormat="1" ht="18" customHeight="1" x14ac:dyDescent="0.2">
      <c r="GE3309"/>
      <c r="GF3309"/>
      <c r="GG3309"/>
      <c r="GH3309"/>
    </row>
    <row r="3310" spans="187:190" s="1" customFormat="1" ht="18" customHeight="1" x14ac:dyDescent="0.2">
      <c r="GE3310"/>
      <c r="GF3310"/>
      <c r="GG3310"/>
      <c r="GH3310"/>
    </row>
    <row r="3311" spans="187:190" s="1" customFormat="1" ht="18" customHeight="1" x14ac:dyDescent="0.2">
      <c r="GE3311"/>
      <c r="GF3311"/>
      <c r="GG3311"/>
      <c r="GH3311"/>
    </row>
    <row r="3312" spans="187:190" s="1" customFormat="1" ht="18" customHeight="1" x14ac:dyDescent="0.2">
      <c r="GE3312"/>
      <c r="GF3312"/>
      <c r="GG3312"/>
      <c r="GH3312"/>
    </row>
    <row r="3313" spans="187:190" s="1" customFormat="1" ht="18" customHeight="1" x14ac:dyDescent="0.2">
      <c r="GE3313"/>
      <c r="GF3313"/>
      <c r="GG3313"/>
      <c r="GH3313"/>
    </row>
    <row r="3314" spans="187:190" s="1" customFormat="1" ht="18" customHeight="1" x14ac:dyDescent="0.2">
      <c r="GE3314"/>
      <c r="GF3314"/>
      <c r="GG3314"/>
      <c r="GH3314"/>
    </row>
    <row r="3315" spans="187:190" s="1" customFormat="1" ht="18" customHeight="1" x14ac:dyDescent="0.2">
      <c r="GE3315"/>
      <c r="GF3315"/>
      <c r="GG3315"/>
      <c r="GH3315"/>
    </row>
    <row r="3316" spans="187:190" s="1" customFormat="1" ht="18" customHeight="1" x14ac:dyDescent="0.2">
      <c r="GE3316"/>
      <c r="GF3316"/>
      <c r="GG3316"/>
      <c r="GH3316"/>
    </row>
    <row r="3317" spans="187:190" s="1" customFormat="1" ht="18" customHeight="1" x14ac:dyDescent="0.2">
      <c r="GE3317"/>
      <c r="GF3317"/>
      <c r="GG3317"/>
      <c r="GH3317"/>
    </row>
    <row r="3318" spans="187:190" s="1" customFormat="1" ht="18" customHeight="1" x14ac:dyDescent="0.2">
      <c r="GE3318"/>
      <c r="GF3318"/>
      <c r="GG3318"/>
      <c r="GH3318"/>
    </row>
    <row r="3319" spans="187:190" s="1" customFormat="1" ht="18" customHeight="1" x14ac:dyDescent="0.2">
      <c r="GE3319"/>
      <c r="GF3319"/>
      <c r="GG3319"/>
      <c r="GH3319"/>
    </row>
    <row r="3320" spans="187:190" s="1" customFormat="1" ht="18" customHeight="1" x14ac:dyDescent="0.2">
      <c r="GE3320"/>
      <c r="GF3320"/>
      <c r="GG3320"/>
      <c r="GH3320"/>
    </row>
    <row r="3321" spans="187:190" s="1" customFormat="1" ht="18" customHeight="1" x14ac:dyDescent="0.2">
      <c r="GE3321"/>
      <c r="GF3321"/>
      <c r="GG3321"/>
      <c r="GH3321"/>
    </row>
    <row r="3322" spans="187:190" s="1" customFormat="1" ht="18" customHeight="1" x14ac:dyDescent="0.2">
      <c r="GE3322"/>
      <c r="GF3322"/>
      <c r="GG3322"/>
      <c r="GH3322"/>
    </row>
    <row r="3323" spans="187:190" s="1" customFormat="1" ht="18" customHeight="1" x14ac:dyDescent="0.2">
      <c r="GE3323"/>
      <c r="GF3323"/>
      <c r="GG3323"/>
      <c r="GH3323"/>
    </row>
    <row r="3324" spans="187:190" s="1" customFormat="1" ht="18" customHeight="1" x14ac:dyDescent="0.2">
      <c r="GE3324"/>
      <c r="GF3324"/>
      <c r="GG3324"/>
      <c r="GH3324"/>
    </row>
    <row r="3325" spans="187:190" s="1" customFormat="1" ht="18" customHeight="1" x14ac:dyDescent="0.2">
      <c r="GE3325"/>
      <c r="GF3325"/>
      <c r="GG3325"/>
      <c r="GH3325"/>
    </row>
    <row r="3326" spans="187:190" s="1" customFormat="1" ht="18" customHeight="1" x14ac:dyDescent="0.2">
      <c r="GE3326"/>
      <c r="GF3326"/>
      <c r="GG3326"/>
      <c r="GH3326"/>
    </row>
    <row r="3327" spans="187:190" s="1" customFormat="1" ht="18" customHeight="1" x14ac:dyDescent="0.2">
      <c r="GE3327"/>
      <c r="GF3327"/>
      <c r="GG3327"/>
      <c r="GH3327"/>
    </row>
    <row r="3328" spans="187:190" s="1" customFormat="1" ht="18" customHeight="1" x14ac:dyDescent="0.2">
      <c r="GE3328"/>
      <c r="GF3328"/>
      <c r="GG3328"/>
      <c r="GH3328"/>
    </row>
    <row r="3329" spans="187:190" s="1" customFormat="1" ht="18" customHeight="1" x14ac:dyDescent="0.2">
      <c r="GE3329"/>
      <c r="GF3329"/>
      <c r="GG3329"/>
      <c r="GH3329"/>
    </row>
    <row r="3330" spans="187:190" s="1" customFormat="1" ht="18" customHeight="1" x14ac:dyDescent="0.2">
      <c r="GE3330"/>
      <c r="GF3330"/>
      <c r="GG3330"/>
      <c r="GH3330"/>
    </row>
    <row r="3331" spans="187:190" s="1" customFormat="1" ht="18" customHeight="1" x14ac:dyDescent="0.2">
      <c r="GE3331"/>
      <c r="GF3331"/>
      <c r="GG3331"/>
      <c r="GH3331"/>
    </row>
    <row r="3332" spans="187:190" s="1" customFormat="1" ht="18" customHeight="1" x14ac:dyDescent="0.2">
      <c r="GE3332"/>
      <c r="GF3332"/>
      <c r="GG3332"/>
      <c r="GH3332"/>
    </row>
    <row r="3333" spans="187:190" s="1" customFormat="1" ht="18" customHeight="1" x14ac:dyDescent="0.2">
      <c r="GE3333"/>
      <c r="GF3333"/>
      <c r="GG3333"/>
      <c r="GH3333"/>
    </row>
    <row r="3334" spans="187:190" s="1" customFormat="1" ht="18" customHeight="1" x14ac:dyDescent="0.2">
      <c r="GE3334"/>
      <c r="GF3334"/>
      <c r="GG3334"/>
      <c r="GH3334"/>
    </row>
    <row r="3335" spans="187:190" s="1" customFormat="1" ht="18" customHeight="1" x14ac:dyDescent="0.2">
      <c r="GE3335"/>
      <c r="GF3335"/>
      <c r="GG3335"/>
      <c r="GH3335"/>
    </row>
    <row r="3336" spans="187:190" s="1" customFormat="1" ht="18" customHeight="1" x14ac:dyDescent="0.2">
      <c r="GE3336"/>
      <c r="GF3336"/>
      <c r="GG3336"/>
      <c r="GH3336"/>
    </row>
    <row r="3337" spans="187:190" s="1" customFormat="1" ht="18" customHeight="1" x14ac:dyDescent="0.2">
      <c r="GE3337"/>
      <c r="GF3337"/>
      <c r="GG3337"/>
      <c r="GH3337"/>
    </row>
    <row r="3338" spans="187:190" s="1" customFormat="1" ht="18" customHeight="1" x14ac:dyDescent="0.2">
      <c r="GE3338"/>
      <c r="GF3338"/>
      <c r="GG3338"/>
      <c r="GH3338"/>
    </row>
    <row r="3339" spans="187:190" s="1" customFormat="1" ht="18" customHeight="1" x14ac:dyDescent="0.2">
      <c r="GE3339"/>
      <c r="GF3339"/>
      <c r="GG3339"/>
      <c r="GH3339"/>
    </row>
    <row r="3340" spans="187:190" s="1" customFormat="1" ht="18" customHeight="1" x14ac:dyDescent="0.2">
      <c r="GE3340"/>
      <c r="GF3340"/>
      <c r="GG3340"/>
      <c r="GH3340"/>
    </row>
    <row r="3341" spans="187:190" s="1" customFormat="1" ht="18" customHeight="1" x14ac:dyDescent="0.2">
      <c r="GE3341"/>
      <c r="GF3341"/>
      <c r="GG3341"/>
      <c r="GH3341"/>
    </row>
    <row r="3342" spans="187:190" s="1" customFormat="1" ht="18" customHeight="1" x14ac:dyDescent="0.2">
      <c r="GE3342"/>
      <c r="GF3342"/>
      <c r="GG3342"/>
      <c r="GH3342"/>
    </row>
    <row r="3343" spans="187:190" s="1" customFormat="1" ht="18" customHeight="1" x14ac:dyDescent="0.2">
      <c r="GE3343"/>
      <c r="GF3343"/>
      <c r="GG3343"/>
      <c r="GH3343"/>
    </row>
    <row r="3344" spans="187:190" s="1" customFormat="1" ht="18" customHeight="1" x14ac:dyDescent="0.2">
      <c r="GE3344"/>
      <c r="GF3344"/>
      <c r="GG3344"/>
      <c r="GH3344"/>
    </row>
    <row r="3345" spans="187:190" s="1" customFormat="1" ht="18" customHeight="1" x14ac:dyDescent="0.2">
      <c r="GE3345"/>
      <c r="GF3345"/>
      <c r="GG3345"/>
      <c r="GH3345"/>
    </row>
    <row r="3346" spans="187:190" s="1" customFormat="1" ht="18" customHeight="1" x14ac:dyDescent="0.2">
      <c r="GE3346"/>
      <c r="GF3346"/>
      <c r="GG3346"/>
      <c r="GH3346"/>
    </row>
    <row r="3347" spans="187:190" s="1" customFormat="1" ht="18" customHeight="1" x14ac:dyDescent="0.2">
      <c r="GE3347"/>
      <c r="GF3347"/>
      <c r="GG3347"/>
      <c r="GH3347"/>
    </row>
    <row r="3348" spans="187:190" s="1" customFormat="1" ht="18" customHeight="1" x14ac:dyDescent="0.2">
      <c r="GE3348"/>
      <c r="GF3348"/>
      <c r="GG3348"/>
      <c r="GH3348"/>
    </row>
    <row r="3349" spans="187:190" s="1" customFormat="1" ht="18" customHeight="1" x14ac:dyDescent="0.2">
      <c r="GE3349"/>
      <c r="GF3349"/>
      <c r="GG3349"/>
      <c r="GH3349"/>
    </row>
    <row r="3350" spans="187:190" s="1" customFormat="1" ht="18" customHeight="1" x14ac:dyDescent="0.2">
      <c r="GE3350"/>
      <c r="GF3350"/>
      <c r="GG3350"/>
      <c r="GH3350"/>
    </row>
    <row r="3351" spans="187:190" s="1" customFormat="1" ht="18" customHeight="1" x14ac:dyDescent="0.2">
      <c r="GE3351"/>
      <c r="GF3351"/>
      <c r="GG3351"/>
      <c r="GH3351"/>
    </row>
    <row r="3352" spans="187:190" s="1" customFormat="1" ht="18" customHeight="1" x14ac:dyDescent="0.2">
      <c r="GE3352"/>
      <c r="GF3352"/>
      <c r="GG3352"/>
      <c r="GH3352"/>
    </row>
    <row r="3353" spans="187:190" s="1" customFormat="1" ht="18" customHeight="1" x14ac:dyDescent="0.2">
      <c r="GE3353"/>
      <c r="GF3353"/>
      <c r="GG3353"/>
      <c r="GH3353"/>
    </row>
    <row r="3354" spans="187:190" s="1" customFormat="1" ht="18" customHeight="1" x14ac:dyDescent="0.2">
      <c r="GE3354"/>
      <c r="GF3354"/>
      <c r="GG3354"/>
      <c r="GH3354"/>
    </row>
    <row r="3355" spans="187:190" s="1" customFormat="1" ht="18" customHeight="1" x14ac:dyDescent="0.2">
      <c r="GE3355"/>
      <c r="GF3355"/>
      <c r="GG3355"/>
      <c r="GH3355"/>
    </row>
    <row r="3356" spans="187:190" s="1" customFormat="1" ht="18" customHeight="1" x14ac:dyDescent="0.2">
      <c r="GE3356"/>
      <c r="GF3356"/>
      <c r="GG3356"/>
      <c r="GH3356"/>
    </row>
    <row r="3357" spans="187:190" s="1" customFormat="1" ht="18" customHeight="1" x14ac:dyDescent="0.2">
      <c r="GE3357"/>
      <c r="GF3357"/>
      <c r="GG3357"/>
      <c r="GH3357"/>
    </row>
    <row r="3358" spans="187:190" s="1" customFormat="1" ht="18" customHeight="1" x14ac:dyDescent="0.2">
      <c r="GE3358"/>
      <c r="GF3358"/>
      <c r="GG3358"/>
      <c r="GH3358"/>
    </row>
    <row r="3359" spans="187:190" s="1" customFormat="1" ht="18" customHeight="1" x14ac:dyDescent="0.2">
      <c r="GE3359"/>
      <c r="GF3359"/>
      <c r="GG3359"/>
      <c r="GH3359"/>
    </row>
    <row r="3360" spans="187:190" s="1" customFormat="1" ht="18" customHeight="1" x14ac:dyDescent="0.2">
      <c r="GE3360"/>
      <c r="GF3360"/>
      <c r="GG3360"/>
      <c r="GH3360"/>
    </row>
    <row r="3361" spans="187:190" s="1" customFormat="1" ht="18" customHeight="1" x14ac:dyDescent="0.2">
      <c r="GE3361"/>
      <c r="GF3361"/>
      <c r="GG3361"/>
      <c r="GH3361"/>
    </row>
    <row r="3362" spans="187:190" s="1" customFormat="1" ht="18" customHeight="1" x14ac:dyDescent="0.2">
      <c r="GE3362"/>
      <c r="GF3362"/>
      <c r="GG3362"/>
      <c r="GH3362"/>
    </row>
    <row r="3363" spans="187:190" s="1" customFormat="1" ht="18" customHeight="1" x14ac:dyDescent="0.2">
      <c r="GE3363"/>
      <c r="GF3363"/>
      <c r="GG3363"/>
      <c r="GH3363"/>
    </row>
    <row r="3364" spans="187:190" s="1" customFormat="1" ht="18" customHeight="1" x14ac:dyDescent="0.2">
      <c r="GE3364"/>
      <c r="GF3364"/>
      <c r="GG3364"/>
      <c r="GH3364"/>
    </row>
    <row r="3365" spans="187:190" s="1" customFormat="1" ht="18" customHeight="1" x14ac:dyDescent="0.2">
      <c r="GE3365"/>
      <c r="GF3365"/>
      <c r="GG3365"/>
      <c r="GH3365"/>
    </row>
    <row r="3366" spans="187:190" s="1" customFormat="1" ht="18" customHeight="1" x14ac:dyDescent="0.2">
      <c r="GE3366"/>
      <c r="GF3366"/>
      <c r="GG3366"/>
      <c r="GH3366"/>
    </row>
    <row r="3367" spans="187:190" s="1" customFormat="1" ht="18" customHeight="1" x14ac:dyDescent="0.2">
      <c r="GE3367"/>
      <c r="GF3367"/>
      <c r="GG3367"/>
      <c r="GH3367"/>
    </row>
    <row r="3368" spans="187:190" s="1" customFormat="1" ht="18" customHeight="1" x14ac:dyDescent="0.2">
      <c r="GE3368"/>
      <c r="GF3368"/>
      <c r="GG3368"/>
      <c r="GH3368"/>
    </row>
    <row r="3369" spans="187:190" s="1" customFormat="1" ht="18" customHeight="1" x14ac:dyDescent="0.2">
      <c r="GE3369"/>
      <c r="GF3369"/>
      <c r="GG3369"/>
      <c r="GH3369"/>
    </row>
    <row r="3370" spans="187:190" s="1" customFormat="1" ht="18" customHeight="1" x14ac:dyDescent="0.2">
      <c r="GE3370"/>
      <c r="GF3370"/>
      <c r="GG3370"/>
      <c r="GH3370"/>
    </row>
    <row r="3371" spans="187:190" s="1" customFormat="1" ht="18" customHeight="1" x14ac:dyDescent="0.2">
      <c r="GE3371"/>
      <c r="GF3371"/>
      <c r="GG3371"/>
      <c r="GH3371"/>
    </row>
    <row r="3372" spans="187:190" s="1" customFormat="1" ht="18" customHeight="1" x14ac:dyDescent="0.2">
      <c r="GE3372"/>
      <c r="GF3372"/>
      <c r="GG3372"/>
      <c r="GH3372"/>
    </row>
    <row r="3373" spans="187:190" s="1" customFormat="1" ht="18" customHeight="1" x14ac:dyDescent="0.2">
      <c r="GE3373"/>
      <c r="GF3373"/>
      <c r="GG3373"/>
      <c r="GH3373"/>
    </row>
    <row r="3374" spans="187:190" s="1" customFormat="1" ht="18" customHeight="1" x14ac:dyDescent="0.2">
      <c r="GE3374"/>
      <c r="GF3374"/>
      <c r="GG3374"/>
      <c r="GH3374"/>
    </row>
    <row r="3375" spans="187:190" s="1" customFormat="1" ht="18" customHeight="1" x14ac:dyDescent="0.2">
      <c r="GE3375"/>
      <c r="GF3375"/>
      <c r="GG3375"/>
      <c r="GH3375"/>
    </row>
    <row r="3376" spans="187:190" s="1" customFormat="1" ht="18" customHeight="1" x14ac:dyDescent="0.2">
      <c r="GE3376"/>
      <c r="GF3376"/>
      <c r="GG3376"/>
      <c r="GH3376"/>
    </row>
    <row r="3377" spans="187:190" s="1" customFormat="1" ht="18" customHeight="1" x14ac:dyDescent="0.2">
      <c r="GE3377"/>
      <c r="GF3377"/>
      <c r="GG3377"/>
      <c r="GH3377"/>
    </row>
    <row r="3378" spans="187:190" s="1" customFormat="1" ht="18" customHeight="1" x14ac:dyDescent="0.2">
      <c r="GE3378"/>
      <c r="GF3378"/>
      <c r="GG3378"/>
      <c r="GH3378"/>
    </row>
    <row r="3379" spans="187:190" s="1" customFormat="1" ht="18" customHeight="1" x14ac:dyDescent="0.2">
      <c r="GE3379"/>
      <c r="GF3379"/>
      <c r="GG3379"/>
      <c r="GH3379"/>
    </row>
    <row r="3380" spans="187:190" s="1" customFormat="1" ht="18" customHeight="1" x14ac:dyDescent="0.2">
      <c r="GE3380"/>
      <c r="GF3380"/>
      <c r="GG3380"/>
      <c r="GH3380"/>
    </row>
    <row r="3381" spans="187:190" s="1" customFormat="1" ht="18" customHeight="1" x14ac:dyDescent="0.2">
      <c r="GE3381"/>
      <c r="GF3381"/>
      <c r="GG3381"/>
      <c r="GH3381"/>
    </row>
    <row r="3382" spans="187:190" s="1" customFormat="1" ht="18" customHeight="1" x14ac:dyDescent="0.2">
      <c r="GE3382"/>
      <c r="GF3382"/>
      <c r="GG3382"/>
      <c r="GH3382"/>
    </row>
    <row r="3383" spans="187:190" s="1" customFormat="1" ht="18" customHeight="1" x14ac:dyDescent="0.2">
      <c r="GE3383"/>
      <c r="GF3383"/>
      <c r="GG3383"/>
      <c r="GH3383"/>
    </row>
    <row r="3384" spans="187:190" s="1" customFormat="1" ht="18" customHeight="1" x14ac:dyDescent="0.2">
      <c r="GE3384"/>
      <c r="GF3384"/>
      <c r="GG3384"/>
      <c r="GH3384"/>
    </row>
    <row r="3385" spans="187:190" s="1" customFormat="1" ht="18" customHeight="1" x14ac:dyDescent="0.2">
      <c r="GE3385"/>
      <c r="GF3385"/>
      <c r="GG3385"/>
      <c r="GH3385"/>
    </row>
    <row r="3386" spans="187:190" s="1" customFormat="1" ht="18" customHeight="1" x14ac:dyDescent="0.2">
      <c r="GE3386"/>
      <c r="GF3386"/>
      <c r="GG3386"/>
      <c r="GH3386"/>
    </row>
    <row r="3387" spans="187:190" s="1" customFormat="1" ht="18" customHeight="1" x14ac:dyDescent="0.2">
      <c r="GE3387"/>
      <c r="GF3387"/>
      <c r="GG3387"/>
      <c r="GH3387"/>
    </row>
    <row r="3388" spans="187:190" s="1" customFormat="1" ht="18" customHeight="1" x14ac:dyDescent="0.2">
      <c r="GE3388"/>
      <c r="GF3388"/>
      <c r="GG3388"/>
      <c r="GH3388"/>
    </row>
    <row r="3389" spans="187:190" s="1" customFormat="1" ht="18" customHeight="1" x14ac:dyDescent="0.2">
      <c r="GE3389"/>
      <c r="GF3389"/>
      <c r="GG3389"/>
      <c r="GH3389"/>
    </row>
    <row r="3390" spans="187:190" s="1" customFormat="1" ht="18" customHeight="1" x14ac:dyDescent="0.2">
      <c r="GE3390"/>
      <c r="GF3390"/>
      <c r="GG3390"/>
      <c r="GH3390"/>
    </row>
    <row r="3391" spans="187:190" s="1" customFormat="1" ht="18" customHeight="1" x14ac:dyDescent="0.2">
      <c r="GE3391"/>
      <c r="GF3391"/>
      <c r="GG3391"/>
      <c r="GH3391"/>
    </row>
    <row r="3392" spans="187:190" s="1" customFormat="1" ht="18" customHeight="1" x14ac:dyDescent="0.2">
      <c r="GE3392"/>
      <c r="GF3392"/>
      <c r="GG3392"/>
      <c r="GH3392"/>
    </row>
    <row r="3393" spans="187:190" s="1" customFormat="1" ht="18" customHeight="1" x14ac:dyDescent="0.2">
      <c r="GE3393"/>
      <c r="GF3393"/>
      <c r="GG3393"/>
      <c r="GH3393"/>
    </row>
    <row r="3394" spans="187:190" s="1" customFormat="1" ht="18" customHeight="1" x14ac:dyDescent="0.2">
      <c r="GE3394"/>
      <c r="GF3394"/>
      <c r="GG3394"/>
      <c r="GH3394"/>
    </row>
    <row r="3395" spans="187:190" s="1" customFormat="1" ht="18" customHeight="1" x14ac:dyDescent="0.2">
      <c r="GE3395"/>
      <c r="GF3395"/>
      <c r="GG3395"/>
      <c r="GH3395"/>
    </row>
    <row r="3396" spans="187:190" s="1" customFormat="1" ht="18" customHeight="1" x14ac:dyDescent="0.2">
      <c r="GE3396"/>
      <c r="GF3396"/>
      <c r="GG3396"/>
      <c r="GH3396"/>
    </row>
    <row r="3397" spans="187:190" s="1" customFormat="1" ht="18" customHeight="1" x14ac:dyDescent="0.2">
      <c r="GE3397"/>
      <c r="GF3397"/>
      <c r="GG3397"/>
      <c r="GH3397"/>
    </row>
    <row r="3398" spans="187:190" s="1" customFormat="1" ht="18" customHeight="1" x14ac:dyDescent="0.2">
      <c r="GE3398"/>
      <c r="GF3398"/>
      <c r="GG3398"/>
      <c r="GH3398"/>
    </row>
    <row r="3399" spans="187:190" s="1" customFormat="1" ht="18" customHeight="1" x14ac:dyDescent="0.2">
      <c r="GE3399"/>
      <c r="GF3399"/>
      <c r="GG3399"/>
      <c r="GH3399"/>
    </row>
    <row r="3400" spans="187:190" s="1" customFormat="1" ht="18" customHeight="1" x14ac:dyDescent="0.2">
      <c r="GE3400"/>
      <c r="GF3400"/>
      <c r="GG3400"/>
      <c r="GH3400"/>
    </row>
    <row r="3401" spans="187:190" s="1" customFormat="1" ht="18" customHeight="1" x14ac:dyDescent="0.2">
      <c r="GE3401"/>
      <c r="GF3401"/>
      <c r="GG3401"/>
      <c r="GH3401"/>
    </row>
    <row r="3402" spans="187:190" s="1" customFormat="1" ht="18" customHeight="1" x14ac:dyDescent="0.2">
      <c r="GE3402"/>
      <c r="GF3402"/>
      <c r="GG3402"/>
      <c r="GH3402"/>
    </row>
    <row r="3403" spans="187:190" s="1" customFormat="1" ht="18" customHeight="1" x14ac:dyDescent="0.2">
      <c r="GE3403"/>
      <c r="GF3403"/>
      <c r="GG3403"/>
      <c r="GH3403"/>
    </row>
    <row r="3404" spans="187:190" s="1" customFormat="1" ht="18" customHeight="1" x14ac:dyDescent="0.2">
      <c r="GE3404"/>
      <c r="GF3404"/>
      <c r="GG3404"/>
      <c r="GH3404"/>
    </row>
    <row r="3405" spans="187:190" s="1" customFormat="1" ht="18" customHeight="1" x14ac:dyDescent="0.2">
      <c r="GE3405"/>
      <c r="GF3405"/>
      <c r="GG3405"/>
      <c r="GH3405"/>
    </row>
    <row r="3406" spans="187:190" s="1" customFormat="1" ht="18" customHeight="1" x14ac:dyDescent="0.2">
      <c r="GE3406"/>
      <c r="GF3406"/>
      <c r="GG3406"/>
      <c r="GH3406"/>
    </row>
    <row r="3407" spans="187:190" s="1" customFormat="1" ht="18" customHeight="1" x14ac:dyDescent="0.2">
      <c r="GE3407"/>
      <c r="GF3407"/>
      <c r="GG3407"/>
      <c r="GH3407"/>
    </row>
    <row r="3408" spans="187:190" s="1" customFormat="1" ht="18" customHeight="1" x14ac:dyDescent="0.2">
      <c r="GE3408"/>
      <c r="GF3408"/>
      <c r="GG3408"/>
      <c r="GH3408"/>
    </row>
    <row r="3409" spans="187:190" s="1" customFormat="1" ht="18" customHeight="1" x14ac:dyDescent="0.2">
      <c r="GE3409"/>
      <c r="GF3409"/>
      <c r="GG3409"/>
      <c r="GH3409"/>
    </row>
    <row r="3410" spans="187:190" s="1" customFormat="1" ht="18" customHeight="1" x14ac:dyDescent="0.2">
      <c r="GE3410"/>
      <c r="GF3410"/>
      <c r="GG3410"/>
      <c r="GH3410"/>
    </row>
    <row r="3411" spans="187:190" s="1" customFormat="1" ht="18" customHeight="1" x14ac:dyDescent="0.2">
      <c r="GE3411"/>
      <c r="GF3411"/>
      <c r="GG3411"/>
      <c r="GH3411"/>
    </row>
    <row r="3412" spans="187:190" s="1" customFormat="1" ht="18" customHeight="1" x14ac:dyDescent="0.2">
      <c r="GE3412"/>
      <c r="GF3412"/>
      <c r="GG3412"/>
      <c r="GH3412"/>
    </row>
    <row r="3413" spans="187:190" s="1" customFormat="1" ht="18" customHeight="1" x14ac:dyDescent="0.2">
      <c r="GE3413"/>
      <c r="GF3413"/>
      <c r="GG3413"/>
      <c r="GH3413"/>
    </row>
    <row r="3414" spans="187:190" s="1" customFormat="1" ht="18" customHeight="1" x14ac:dyDescent="0.2">
      <c r="GE3414"/>
      <c r="GF3414"/>
      <c r="GG3414"/>
      <c r="GH3414"/>
    </row>
    <row r="3415" spans="187:190" s="1" customFormat="1" ht="18" customHeight="1" x14ac:dyDescent="0.2">
      <c r="GE3415"/>
      <c r="GF3415"/>
      <c r="GG3415"/>
      <c r="GH3415"/>
    </row>
    <row r="3416" spans="187:190" s="1" customFormat="1" ht="18" customHeight="1" x14ac:dyDescent="0.2">
      <c r="GE3416"/>
      <c r="GF3416"/>
      <c r="GG3416"/>
      <c r="GH3416"/>
    </row>
    <row r="3417" spans="187:190" s="1" customFormat="1" ht="18" customHeight="1" x14ac:dyDescent="0.2">
      <c r="GE3417"/>
      <c r="GF3417"/>
      <c r="GG3417"/>
      <c r="GH3417"/>
    </row>
    <row r="3418" spans="187:190" s="1" customFormat="1" ht="18" customHeight="1" x14ac:dyDescent="0.2">
      <c r="GE3418"/>
      <c r="GF3418"/>
      <c r="GG3418"/>
      <c r="GH3418"/>
    </row>
    <row r="3419" spans="187:190" s="1" customFormat="1" ht="18" customHeight="1" x14ac:dyDescent="0.2">
      <c r="GE3419"/>
      <c r="GF3419"/>
      <c r="GG3419"/>
      <c r="GH3419"/>
    </row>
    <row r="3420" spans="187:190" s="1" customFormat="1" ht="18" customHeight="1" x14ac:dyDescent="0.2">
      <c r="GE3420"/>
      <c r="GF3420"/>
      <c r="GG3420"/>
      <c r="GH3420"/>
    </row>
    <row r="3421" spans="187:190" s="1" customFormat="1" ht="18" customHeight="1" x14ac:dyDescent="0.2">
      <c r="GE3421"/>
      <c r="GF3421"/>
      <c r="GG3421"/>
      <c r="GH3421"/>
    </row>
    <row r="3422" spans="187:190" s="1" customFormat="1" ht="18" customHeight="1" x14ac:dyDescent="0.2">
      <c r="GE3422"/>
      <c r="GF3422"/>
      <c r="GG3422"/>
      <c r="GH3422"/>
    </row>
    <row r="3423" spans="187:190" s="1" customFormat="1" ht="18" customHeight="1" x14ac:dyDescent="0.2">
      <c r="GE3423"/>
      <c r="GF3423"/>
      <c r="GG3423"/>
      <c r="GH3423"/>
    </row>
    <row r="3424" spans="187:190" s="1" customFormat="1" ht="18" customHeight="1" x14ac:dyDescent="0.2">
      <c r="GE3424"/>
      <c r="GF3424"/>
      <c r="GG3424"/>
      <c r="GH3424"/>
    </row>
    <row r="3425" spans="187:190" s="1" customFormat="1" ht="18" customHeight="1" x14ac:dyDescent="0.2">
      <c r="GE3425"/>
      <c r="GF3425"/>
      <c r="GG3425"/>
      <c r="GH3425"/>
    </row>
    <row r="3426" spans="187:190" s="1" customFormat="1" ht="18" customHeight="1" x14ac:dyDescent="0.2">
      <c r="GE3426"/>
      <c r="GF3426"/>
      <c r="GG3426"/>
      <c r="GH3426"/>
    </row>
    <row r="3427" spans="187:190" s="1" customFormat="1" ht="18" customHeight="1" x14ac:dyDescent="0.2">
      <c r="GE3427"/>
      <c r="GF3427"/>
      <c r="GG3427"/>
      <c r="GH3427"/>
    </row>
    <row r="3428" spans="187:190" s="1" customFormat="1" ht="18" customHeight="1" x14ac:dyDescent="0.2">
      <c r="GE3428"/>
      <c r="GF3428"/>
      <c r="GG3428"/>
      <c r="GH3428"/>
    </row>
    <row r="3429" spans="187:190" s="1" customFormat="1" ht="18" customHeight="1" x14ac:dyDescent="0.2">
      <c r="GE3429"/>
      <c r="GF3429"/>
      <c r="GG3429"/>
      <c r="GH3429"/>
    </row>
    <row r="3430" spans="187:190" s="1" customFormat="1" ht="18" customHeight="1" x14ac:dyDescent="0.2">
      <c r="GE3430"/>
      <c r="GF3430"/>
      <c r="GG3430"/>
      <c r="GH3430"/>
    </row>
    <row r="3431" spans="187:190" s="1" customFormat="1" ht="18" customHeight="1" x14ac:dyDescent="0.2">
      <c r="GE3431"/>
      <c r="GF3431"/>
      <c r="GG3431"/>
      <c r="GH3431"/>
    </row>
    <row r="3432" spans="187:190" s="1" customFormat="1" ht="18" customHeight="1" x14ac:dyDescent="0.2">
      <c r="GE3432"/>
      <c r="GF3432"/>
      <c r="GG3432"/>
      <c r="GH3432"/>
    </row>
    <row r="3433" spans="187:190" s="1" customFormat="1" ht="18" customHeight="1" x14ac:dyDescent="0.2">
      <c r="GE3433"/>
      <c r="GF3433"/>
      <c r="GG3433"/>
      <c r="GH3433"/>
    </row>
    <row r="3434" spans="187:190" s="1" customFormat="1" ht="18" customHeight="1" x14ac:dyDescent="0.2">
      <c r="GE3434"/>
      <c r="GF3434"/>
      <c r="GG3434"/>
      <c r="GH3434"/>
    </row>
    <row r="3435" spans="187:190" s="1" customFormat="1" ht="18" customHeight="1" x14ac:dyDescent="0.2">
      <c r="GE3435"/>
      <c r="GF3435"/>
      <c r="GG3435"/>
      <c r="GH3435"/>
    </row>
    <row r="3436" spans="187:190" s="1" customFormat="1" ht="18" customHeight="1" x14ac:dyDescent="0.2">
      <c r="GE3436"/>
      <c r="GF3436"/>
      <c r="GG3436"/>
      <c r="GH3436"/>
    </row>
    <row r="3437" spans="187:190" s="1" customFormat="1" ht="18" customHeight="1" x14ac:dyDescent="0.2">
      <c r="GE3437"/>
      <c r="GF3437"/>
      <c r="GG3437"/>
      <c r="GH3437"/>
    </row>
    <row r="3438" spans="187:190" s="1" customFormat="1" ht="18" customHeight="1" x14ac:dyDescent="0.2">
      <c r="GE3438"/>
      <c r="GF3438"/>
      <c r="GG3438"/>
      <c r="GH3438"/>
    </row>
    <row r="3439" spans="187:190" s="1" customFormat="1" ht="18" customHeight="1" x14ac:dyDescent="0.2">
      <c r="GE3439"/>
      <c r="GF3439"/>
      <c r="GG3439"/>
      <c r="GH3439"/>
    </row>
    <row r="3440" spans="187:190" s="1" customFormat="1" ht="18" customHeight="1" x14ac:dyDescent="0.2">
      <c r="GE3440"/>
      <c r="GF3440"/>
      <c r="GG3440"/>
      <c r="GH3440"/>
    </row>
    <row r="3441" spans="187:190" s="1" customFormat="1" ht="18" customHeight="1" x14ac:dyDescent="0.2">
      <c r="GE3441"/>
      <c r="GF3441"/>
      <c r="GG3441"/>
      <c r="GH3441"/>
    </row>
    <row r="3442" spans="187:190" s="1" customFormat="1" ht="18" customHeight="1" x14ac:dyDescent="0.2">
      <c r="GE3442"/>
      <c r="GF3442"/>
      <c r="GG3442"/>
      <c r="GH3442"/>
    </row>
    <row r="3443" spans="187:190" s="1" customFormat="1" ht="18" customHeight="1" x14ac:dyDescent="0.2">
      <c r="GE3443"/>
      <c r="GF3443"/>
      <c r="GG3443"/>
      <c r="GH3443"/>
    </row>
    <row r="3444" spans="187:190" s="1" customFormat="1" ht="18" customHeight="1" x14ac:dyDescent="0.2">
      <c r="GE3444"/>
      <c r="GF3444"/>
      <c r="GG3444"/>
      <c r="GH3444"/>
    </row>
    <row r="3445" spans="187:190" s="1" customFormat="1" ht="18" customHeight="1" x14ac:dyDescent="0.2">
      <c r="GE3445"/>
      <c r="GF3445"/>
      <c r="GG3445"/>
      <c r="GH3445"/>
    </row>
    <row r="3446" spans="187:190" s="1" customFormat="1" ht="18" customHeight="1" x14ac:dyDescent="0.2">
      <c r="GE3446"/>
      <c r="GF3446"/>
      <c r="GG3446"/>
      <c r="GH3446"/>
    </row>
    <row r="3447" spans="187:190" s="1" customFormat="1" ht="18" customHeight="1" x14ac:dyDescent="0.2">
      <c r="GE3447"/>
      <c r="GF3447"/>
      <c r="GG3447"/>
      <c r="GH3447"/>
    </row>
    <row r="3448" spans="187:190" s="1" customFormat="1" ht="18" customHeight="1" x14ac:dyDescent="0.2">
      <c r="GE3448"/>
      <c r="GF3448"/>
      <c r="GG3448"/>
      <c r="GH3448"/>
    </row>
    <row r="3449" spans="187:190" s="1" customFormat="1" ht="18" customHeight="1" x14ac:dyDescent="0.2">
      <c r="GE3449"/>
      <c r="GF3449"/>
      <c r="GG3449"/>
      <c r="GH3449"/>
    </row>
    <row r="3450" spans="187:190" s="1" customFormat="1" ht="18" customHeight="1" x14ac:dyDescent="0.2">
      <c r="GE3450"/>
      <c r="GF3450"/>
      <c r="GG3450"/>
      <c r="GH3450"/>
    </row>
    <row r="3451" spans="187:190" s="1" customFormat="1" ht="18" customHeight="1" x14ac:dyDescent="0.2">
      <c r="GE3451"/>
      <c r="GF3451"/>
      <c r="GG3451"/>
      <c r="GH3451"/>
    </row>
    <row r="3452" spans="187:190" s="1" customFormat="1" ht="18" customHeight="1" x14ac:dyDescent="0.2">
      <c r="GE3452"/>
      <c r="GF3452"/>
      <c r="GG3452"/>
      <c r="GH3452"/>
    </row>
    <row r="3453" spans="187:190" s="1" customFormat="1" ht="18" customHeight="1" x14ac:dyDescent="0.2">
      <c r="GE3453"/>
      <c r="GF3453"/>
      <c r="GG3453"/>
      <c r="GH3453"/>
    </row>
    <row r="3454" spans="187:190" s="1" customFormat="1" ht="18" customHeight="1" x14ac:dyDescent="0.2">
      <c r="GE3454"/>
      <c r="GF3454"/>
      <c r="GG3454"/>
      <c r="GH3454"/>
    </row>
    <row r="3455" spans="187:190" s="1" customFormat="1" ht="18" customHeight="1" x14ac:dyDescent="0.2">
      <c r="GE3455"/>
      <c r="GF3455"/>
      <c r="GG3455"/>
      <c r="GH3455"/>
    </row>
    <row r="3456" spans="187:190" s="1" customFormat="1" ht="18" customHeight="1" x14ac:dyDescent="0.2">
      <c r="GE3456"/>
      <c r="GF3456"/>
      <c r="GG3456"/>
      <c r="GH3456"/>
    </row>
    <row r="3457" spans="187:190" s="1" customFormat="1" ht="18" customHeight="1" x14ac:dyDescent="0.2">
      <c r="GE3457"/>
      <c r="GF3457"/>
      <c r="GG3457"/>
      <c r="GH3457"/>
    </row>
    <row r="3458" spans="187:190" s="1" customFormat="1" ht="18" customHeight="1" x14ac:dyDescent="0.2">
      <c r="GE3458"/>
      <c r="GF3458"/>
      <c r="GG3458"/>
      <c r="GH3458"/>
    </row>
    <row r="3459" spans="187:190" s="1" customFormat="1" ht="18" customHeight="1" x14ac:dyDescent="0.2">
      <c r="GE3459"/>
      <c r="GF3459"/>
      <c r="GG3459"/>
      <c r="GH3459"/>
    </row>
    <row r="3460" spans="187:190" s="1" customFormat="1" ht="18" customHeight="1" x14ac:dyDescent="0.2">
      <c r="GE3460"/>
      <c r="GF3460"/>
      <c r="GG3460"/>
      <c r="GH3460"/>
    </row>
    <row r="3461" spans="187:190" s="1" customFormat="1" ht="18" customHeight="1" x14ac:dyDescent="0.2">
      <c r="GE3461"/>
      <c r="GF3461"/>
      <c r="GG3461"/>
      <c r="GH3461"/>
    </row>
    <row r="3462" spans="187:190" s="1" customFormat="1" ht="18" customHeight="1" x14ac:dyDescent="0.2">
      <c r="GE3462"/>
      <c r="GF3462"/>
      <c r="GG3462"/>
      <c r="GH3462"/>
    </row>
    <row r="3463" spans="187:190" s="1" customFormat="1" ht="18" customHeight="1" x14ac:dyDescent="0.2">
      <c r="GE3463"/>
      <c r="GF3463"/>
      <c r="GG3463"/>
      <c r="GH3463"/>
    </row>
    <row r="3464" spans="187:190" s="1" customFormat="1" ht="18" customHeight="1" x14ac:dyDescent="0.2">
      <c r="GE3464"/>
      <c r="GF3464"/>
      <c r="GG3464"/>
      <c r="GH3464"/>
    </row>
    <row r="3465" spans="187:190" s="1" customFormat="1" ht="18" customHeight="1" x14ac:dyDescent="0.2">
      <c r="GE3465"/>
      <c r="GF3465"/>
      <c r="GG3465"/>
      <c r="GH3465"/>
    </row>
    <row r="3466" spans="187:190" s="1" customFormat="1" ht="18" customHeight="1" x14ac:dyDescent="0.2">
      <c r="GE3466"/>
      <c r="GF3466"/>
      <c r="GG3466"/>
      <c r="GH3466"/>
    </row>
    <row r="3467" spans="187:190" s="1" customFormat="1" ht="18" customHeight="1" x14ac:dyDescent="0.2">
      <c r="GE3467"/>
      <c r="GF3467"/>
      <c r="GG3467"/>
      <c r="GH3467"/>
    </row>
    <row r="3468" spans="187:190" s="1" customFormat="1" ht="18" customHeight="1" x14ac:dyDescent="0.2">
      <c r="GE3468"/>
      <c r="GF3468"/>
      <c r="GG3468"/>
      <c r="GH3468"/>
    </row>
    <row r="3469" spans="187:190" s="1" customFormat="1" ht="18" customHeight="1" x14ac:dyDescent="0.2">
      <c r="GE3469"/>
      <c r="GF3469"/>
      <c r="GG3469"/>
      <c r="GH3469"/>
    </row>
    <row r="3470" spans="187:190" s="1" customFormat="1" ht="18" customHeight="1" x14ac:dyDescent="0.2">
      <c r="GE3470"/>
      <c r="GF3470"/>
      <c r="GG3470"/>
      <c r="GH3470"/>
    </row>
    <row r="3471" spans="187:190" s="1" customFormat="1" ht="18" customHeight="1" x14ac:dyDescent="0.2">
      <c r="GE3471"/>
      <c r="GF3471"/>
      <c r="GG3471"/>
      <c r="GH3471"/>
    </row>
    <row r="3472" spans="187:190" s="1" customFormat="1" ht="18" customHeight="1" x14ac:dyDescent="0.2">
      <c r="GE3472"/>
      <c r="GF3472"/>
      <c r="GG3472"/>
      <c r="GH3472"/>
    </row>
    <row r="3473" spans="187:190" s="1" customFormat="1" ht="18" customHeight="1" x14ac:dyDescent="0.2">
      <c r="GE3473"/>
      <c r="GF3473"/>
      <c r="GG3473"/>
      <c r="GH3473"/>
    </row>
    <row r="3474" spans="187:190" s="1" customFormat="1" ht="18" customHeight="1" x14ac:dyDescent="0.2">
      <c r="GE3474"/>
      <c r="GF3474"/>
      <c r="GG3474"/>
      <c r="GH3474"/>
    </row>
    <row r="3475" spans="187:190" s="1" customFormat="1" ht="18" customHeight="1" x14ac:dyDescent="0.2">
      <c r="GE3475"/>
      <c r="GF3475"/>
      <c r="GG3475"/>
      <c r="GH3475"/>
    </row>
    <row r="3476" spans="187:190" s="1" customFormat="1" ht="18" customHeight="1" x14ac:dyDescent="0.2">
      <c r="GE3476"/>
      <c r="GF3476"/>
      <c r="GG3476"/>
      <c r="GH3476"/>
    </row>
    <row r="3477" spans="187:190" s="1" customFormat="1" ht="18" customHeight="1" x14ac:dyDescent="0.2">
      <c r="GE3477"/>
      <c r="GF3477"/>
      <c r="GG3477"/>
      <c r="GH3477"/>
    </row>
    <row r="3478" spans="187:190" s="1" customFormat="1" ht="18" customHeight="1" x14ac:dyDescent="0.2">
      <c r="GE3478"/>
      <c r="GF3478"/>
      <c r="GG3478"/>
      <c r="GH3478"/>
    </row>
    <row r="3479" spans="187:190" s="1" customFormat="1" ht="18" customHeight="1" x14ac:dyDescent="0.2">
      <c r="GE3479"/>
      <c r="GF3479"/>
      <c r="GG3479"/>
      <c r="GH3479"/>
    </row>
    <row r="3480" spans="187:190" s="1" customFormat="1" ht="18" customHeight="1" x14ac:dyDescent="0.2">
      <c r="GE3480"/>
      <c r="GF3480"/>
      <c r="GG3480"/>
      <c r="GH3480"/>
    </row>
    <row r="3481" spans="187:190" s="1" customFormat="1" ht="18" customHeight="1" x14ac:dyDescent="0.2">
      <c r="GE3481"/>
      <c r="GF3481"/>
      <c r="GG3481"/>
      <c r="GH3481"/>
    </row>
    <row r="3482" spans="187:190" s="1" customFormat="1" ht="18" customHeight="1" x14ac:dyDescent="0.2">
      <c r="GE3482"/>
      <c r="GF3482"/>
      <c r="GG3482"/>
      <c r="GH3482"/>
    </row>
    <row r="3483" spans="187:190" s="1" customFormat="1" ht="18" customHeight="1" x14ac:dyDescent="0.2">
      <c r="GE3483"/>
      <c r="GF3483"/>
      <c r="GG3483"/>
      <c r="GH3483"/>
    </row>
    <row r="3484" spans="187:190" s="1" customFormat="1" ht="18" customHeight="1" x14ac:dyDescent="0.2">
      <c r="GE3484"/>
      <c r="GF3484"/>
      <c r="GG3484"/>
      <c r="GH3484"/>
    </row>
    <row r="3485" spans="187:190" s="1" customFormat="1" ht="18" customHeight="1" x14ac:dyDescent="0.2">
      <c r="GE3485"/>
      <c r="GF3485"/>
      <c r="GG3485"/>
      <c r="GH3485"/>
    </row>
    <row r="3486" spans="187:190" s="1" customFormat="1" ht="18" customHeight="1" x14ac:dyDescent="0.2">
      <c r="GE3486"/>
      <c r="GF3486"/>
      <c r="GG3486"/>
      <c r="GH3486"/>
    </row>
    <row r="3487" spans="187:190" s="1" customFormat="1" ht="18" customHeight="1" x14ac:dyDescent="0.2">
      <c r="GE3487"/>
      <c r="GF3487"/>
      <c r="GG3487"/>
      <c r="GH3487"/>
    </row>
    <row r="3488" spans="187:190" s="1" customFormat="1" ht="18" customHeight="1" x14ac:dyDescent="0.2">
      <c r="GE3488"/>
      <c r="GF3488"/>
      <c r="GG3488"/>
      <c r="GH3488"/>
    </row>
    <row r="3489" spans="187:190" s="1" customFormat="1" ht="18" customHeight="1" x14ac:dyDescent="0.2">
      <c r="GE3489"/>
      <c r="GF3489"/>
      <c r="GG3489"/>
      <c r="GH3489"/>
    </row>
    <row r="3490" spans="187:190" s="1" customFormat="1" ht="18" customHeight="1" x14ac:dyDescent="0.2">
      <c r="GE3490"/>
      <c r="GF3490"/>
      <c r="GG3490"/>
      <c r="GH3490"/>
    </row>
    <row r="3491" spans="187:190" s="1" customFormat="1" ht="18" customHeight="1" x14ac:dyDescent="0.2">
      <c r="GE3491"/>
      <c r="GF3491"/>
      <c r="GG3491"/>
      <c r="GH3491"/>
    </row>
    <row r="3492" spans="187:190" s="1" customFormat="1" ht="18" customHeight="1" x14ac:dyDescent="0.2">
      <c r="GE3492"/>
      <c r="GF3492"/>
      <c r="GG3492"/>
      <c r="GH3492"/>
    </row>
    <row r="3493" spans="187:190" s="1" customFormat="1" ht="18" customHeight="1" x14ac:dyDescent="0.2">
      <c r="GE3493"/>
      <c r="GF3493"/>
      <c r="GG3493"/>
      <c r="GH3493"/>
    </row>
    <row r="3494" spans="187:190" s="1" customFormat="1" ht="18" customHeight="1" x14ac:dyDescent="0.2">
      <c r="GE3494"/>
      <c r="GF3494"/>
      <c r="GG3494"/>
      <c r="GH3494"/>
    </row>
    <row r="3495" spans="187:190" s="1" customFormat="1" ht="18" customHeight="1" x14ac:dyDescent="0.2">
      <c r="GE3495"/>
      <c r="GF3495"/>
      <c r="GG3495"/>
      <c r="GH3495"/>
    </row>
    <row r="3496" spans="187:190" s="1" customFormat="1" ht="18" customHeight="1" x14ac:dyDescent="0.2">
      <c r="GE3496"/>
      <c r="GF3496"/>
      <c r="GG3496"/>
      <c r="GH3496"/>
    </row>
    <row r="3497" spans="187:190" s="1" customFormat="1" ht="18" customHeight="1" x14ac:dyDescent="0.2">
      <c r="GE3497"/>
      <c r="GF3497"/>
      <c r="GG3497"/>
      <c r="GH3497"/>
    </row>
    <row r="3498" spans="187:190" s="1" customFormat="1" ht="18" customHeight="1" x14ac:dyDescent="0.2">
      <c r="GE3498"/>
      <c r="GF3498"/>
      <c r="GG3498"/>
      <c r="GH3498"/>
    </row>
    <row r="3499" spans="187:190" s="1" customFormat="1" ht="18" customHeight="1" x14ac:dyDescent="0.2">
      <c r="GE3499"/>
      <c r="GF3499"/>
      <c r="GG3499"/>
      <c r="GH3499"/>
    </row>
    <row r="3500" spans="187:190" s="1" customFormat="1" ht="18" customHeight="1" x14ac:dyDescent="0.2">
      <c r="GE3500"/>
      <c r="GF3500"/>
      <c r="GG3500"/>
      <c r="GH3500"/>
    </row>
    <row r="3501" spans="187:190" s="1" customFormat="1" ht="18" customHeight="1" x14ac:dyDescent="0.2">
      <c r="GE3501"/>
      <c r="GF3501"/>
      <c r="GG3501"/>
      <c r="GH3501"/>
    </row>
    <row r="3502" spans="187:190" s="1" customFormat="1" ht="18" customHeight="1" x14ac:dyDescent="0.2">
      <c r="GE3502"/>
      <c r="GF3502"/>
      <c r="GG3502"/>
      <c r="GH3502"/>
    </row>
    <row r="3503" spans="187:190" s="1" customFormat="1" ht="18" customHeight="1" x14ac:dyDescent="0.2">
      <c r="GE3503"/>
      <c r="GF3503"/>
      <c r="GG3503"/>
      <c r="GH3503"/>
    </row>
    <row r="3504" spans="187:190" s="1" customFormat="1" ht="18" customHeight="1" x14ac:dyDescent="0.2">
      <c r="GE3504"/>
      <c r="GF3504"/>
      <c r="GG3504"/>
      <c r="GH3504"/>
    </row>
    <row r="3505" spans="187:190" s="1" customFormat="1" ht="18" customHeight="1" x14ac:dyDescent="0.2">
      <c r="GE3505"/>
      <c r="GF3505"/>
      <c r="GG3505"/>
      <c r="GH3505"/>
    </row>
    <row r="3506" spans="187:190" s="1" customFormat="1" ht="18" customHeight="1" x14ac:dyDescent="0.2">
      <c r="GE3506"/>
      <c r="GF3506"/>
      <c r="GG3506"/>
      <c r="GH3506"/>
    </row>
    <row r="3507" spans="187:190" s="1" customFormat="1" ht="18" customHeight="1" x14ac:dyDescent="0.2">
      <c r="GE3507"/>
      <c r="GF3507"/>
      <c r="GG3507"/>
      <c r="GH3507"/>
    </row>
    <row r="3508" spans="187:190" s="1" customFormat="1" ht="18" customHeight="1" x14ac:dyDescent="0.2">
      <c r="GE3508"/>
      <c r="GF3508"/>
      <c r="GG3508"/>
      <c r="GH3508"/>
    </row>
    <row r="3509" spans="187:190" s="1" customFormat="1" ht="18" customHeight="1" x14ac:dyDescent="0.2">
      <c r="GE3509"/>
      <c r="GF3509"/>
      <c r="GG3509"/>
      <c r="GH3509"/>
    </row>
    <row r="3510" spans="187:190" s="1" customFormat="1" ht="18" customHeight="1" x14ac:dyDescent="0.2">
      <c r="GE3510"/>
      <c r="GF3510"/>
      <c r="GG3510"/>
      <c r="GH3510"/>
    </row>
    <row r="3511" spans="187:190" s="1" customFormat="1" ht="18" customHeight="1" x14ac:dyDescent="0.2">
      <c r="GE3511"/>
      <c r="GF3511"/>
      <c r="GG3511"/>
      <c r="GH3511"/>
    </row>
    <row r="3512" spans="187:190" s="1" customFormat="1" ht="18" customHeight="1" x14ac:dyDescent="0.2">
      <c r="GE3512"/>
      <c r="GF3512"/>
      <c r="GG3512"/>
      <c r="GH3512"/>
    </row>
    <row r="3513" spans="187:190" s="1" customFormat="1" ht="18" customHeight="1" x14ac:dyDescent="0.2">
      <c r="GE3513"/>
      <c r="GF3513"/>
      <c r="GG3513"/>
      <c r="GH3513"/>
    </row>
    <row r="3514" spans="187:190" s="1" customFormat="1" ht="18" customHeight="1" x14ac:dyDescent="0.2">
      <c r="GE3514"/>
      <c r="GF3514"/>
      <c r="GG3514"/>
      <c r="GH3514"/>
    </row>
    <row r="3515" spans="187:190" s="1" customFormat="1" ht="18" customHeight="1" x14ac:dyDescent="0.2">
      <c r="GE3515"/>
      <c r="GF3515"/>
      <c r="GG3515"/>
      <c r="GH3515"/>
    </row>
    <row r="3516" spans="187:190" s="1" customFormat="1" ht="18" customHeight="1" x14ac:dyDescent="0.2">
      <c r="GE3516"/>
      <c r="GF3516"/>
      <c r="GG3516"/>
      <c r="GH3516"/>
    </row>
    <row r="3517" spans="187:190" s="1" customFormat="1" ht="18" customHeight="1" x14ac:dyDescent="0.2">
      <c r="GE3517"/>
      <c r="GF3517"/>
      <c r="GG3517"/>
      <c r="GH3517"/>
    </row>
    <row r="3518" spans="187:190" s="1" customFormat="1" ht="18" customHeight="1" x14ac:dyDescent="0.2">
      <c r="GE3518"/>
      <c r="GF3518"/>
      <c r="GG3518"/>
      <c r="GH3518"/>
    </row>
    <row r="3519" spans="187:190" s="1" customFormat="1" ht="18" customHeight="1" x14ac:dyDescent="0.2">
      <c r="GE3519"/>
      <c r="GF3519"/>
      <c r="GG3519"/>
      <c r="GH3519"/>
    </row>
    <row r="3520" spans="187:190" s="1" customFormat="1" ht="18" customHeight="1" x14ac:dyDescent="0.2">
      <c r="GE3520"/>
      <c r="GF3520"/>
      <c r="GG3520"/>
      <c r="GH3520"/>
    </row>
    <row r="3521" spans="187:190" s="1" customFormat="1" ht="18" customHeight="1" x14ac:dyDescent="0.2">
      <c r="GE3521"/>
      <c r="GF3521"/>
      <c r="GG3521"/>
      <c r="GH3521"/>
    </row>
    <row r="3522" spans="187:190" s="1" customFormat="1" ht="18" customHeight="1" x14ac:dyDescent="0.2">
      <c r="GE3522"/>
      <c r="GF3522"/>
      <c r="GG3522"/>
      <c r="GH3522"/>
    </row>
    <row r="3523" spans="187:190" s="1" customFormat="1" ht="18" customHeight="1" x14ac:dyDescent="0.2">
      <c r="GE3523"/>
      <c r="GF3523"/>
      <c r="GG3523"/>
      <c r="GH3523"/>
    </row>
    <row r="3524" spans="187:190" s="1" customFormat="1" ht="18" customHeight="1" x14ac:dyDescent="0.2">
      <c r="GE3524"/>
      <c r="GF3524"/>
      <c r="GG3524"/>
      <c r="GH3524"/>
    </row>
    <row r="3525" spans="187:190" s="1" customFormat="1" ht="18" customHeight="1" x14ac:dyDescent="0.2">
      <c r="GE3525"/>
      <c r="GF3525"/>
      <c r="GG3525"/>
      <c r="GH3525"/>
    </row>
    <row r="3526" spans="187:190" s="1" customFormat="1" ht="18" customHeight="1" x14ac:dyDescent="0.2">
      <c r="GE3526"/>
      <c r="GF3526"/>
      <c r="GG3526"/>
      <c r="GH3526"/>
    </row>
    <row r="3527" spans="187:190" s="1" customFormat="1" ht="18" customHeight="1" x14ac:dyDescent="0.2">
      <c r="GE3527"/>
      <c r="GF3527"/>
      <c r="GG3527"/>
      <c r="GH3527"/>
    </row>
    <row r="3528" spans="187:190" s="1" customFormat="1" ht="18" customHeight="1" x14ac:dyDescent="0.2">
      <c r="GE3528"/>
      <c r="GF3528"/>
      <c r="GG3528"/>
      <c r="GH3528"/>
    </row>
    <row r="3529" spans="187:190" s="1" customFormat="1" ht="18" customHeight="1" x14ac:dyDescent="0.2">
      <c r="GE3529"/>
      <c r="GF3529"/>
      <c r="GG3529"/>
      <c r="GH3529"/>
    </row>
    <row r="3530" spans="187:190" s="1" customFormat="1" ht="18" customHeight="1" x14ac:dyDescent="0.2">
      <c r="GE3530"/>
      <c r="GF3530"/>
      <c r="GG3530"/>
      <c r="GH3530"/>
    </row>
    <row r="3531" spans="187:190" s="1" customFormat="1" ht="18" customHeight="1" x14ac:dyDescent="0.2">
      <c r="GE3531"/>
      <c r="GF3531"/>
      <c r="GG3531"/>
      <c r="GH3531"/>
    </row>
    <row r="3532" spans="187:190" s="1" customFormat="1" ht="18" customHeight="1" x14ac:dyDescent="0.2">
      <c r="GE3532"/>
      <c r="GF3532"/>
      <c r="GG3532"/>
      <c r="GH3532"/>
    </row>
    <row r="3533" spans="187:190" s="1" customFormat="1" ht="18" customHeight="1" x14ac:dyDescent="0.2">
      <c r="GE3533"/>
      <c r="GF3533"/>
      <c r="GG3533"/>
      <c r="GH3533"/>
    </row>
    <row r="3534" spans="187:190" s="1" customFormat="1" ht="18" customHeight="1" x14ac:dyDescent="0.2">
      <c r="GE3534"/>
      <c r="GF3534"/>
      <c r="GG3534"/>
      <c r="GH3534"/>
    </row>
    <row r="3535" spans="187:190" s="1" customFormat="1" ht="18" customHeight="1" x14ac:dyDescent="0.2">
      <c r="GE3535"/>
      <c r="GF3535"/>
      <c r="GG3535"/>
      <c r="GH3535"/>
    </row>
    <row r="3536" spans="187:190" s="1" customFormat="1" ht="18" customHeight="1" x14ac:dyDescent="0.2">
      <c r="GE3536"/>
      <c r="GF3536"/>
      <c r="GG3536"/>
      <c r="GH3536"/>
    </row>
    <row r="3537" spans="187:190" s="1" customFormat="1" ht="18" customHeight="1" x14ac:dyDescent="0.2">
      <c r="GE3537"/>
      <c r="GF3537"/>
      <c r="GG3537"/>
      <c r="GH3537"/>
    </row>
    <row r="3538" spans="187:190" s="1" customFormat="1" ht="18" customHeight="1" x14ac:dyDescent="0.2">
      <c r="GE3538"/>
      <c r="GF3538"/>
      <c r="GG3538"/>
      <c r="GH3538"/>
    </row>
    <row r="3539" spans="187:190" s="1" customFormat="1" ht="18" customHeight="1" x14ac:dyDescent="0.2">
      <c r="GE3539"/>
      <c r="GF3539"/>
      <c r="GG3539"/>
      <c r="GH3539"/>
    </row>
    <row r="3540" spans="187:190" s="1" customFormat="1" ht="18" customHeight="1" x14ac:dyDescent="0.2">
      <c r="GE3540"/>
      <c r="GF3540"/>
      <c r="GG3540"/>
      <c r="GH3540"/>
    </row>
    <row r="3541" spans="187:190" s="1" customFormat="1" ht="18" customHeight="1" x14ac:dyDescent="0.2">
      <c r="GE3541"/>
      <c r="GF3541"/>
      <c r="GG3541"/>
      <c r="GH3541"/>
    </row>
    <row r="3542" spans="187:190" s="1" customFormat="1" ht="18" customHeight="1" x14ac:dyDescent="0.2">
      <c r="GE3542"/>
      <c r="GF3542"/>
      <c r="GG3542"/>
      <c r="GH3542"/>
    </row>
    <row r="3543" spans="187:190" s="1" customFormat="1" ht="18" customHeight="1" x14ac:dyDescent="0.2">
      <c r="GE3543"/>
      <c r="GF3543"/>
      <c r="GG3543"/>
      <c r="GH3543"/>
    </row>
    <row r="3544" spans="187:190" s="1" customFormat="1" ht="18" customHeight="1" x14ac:dyDescent="0.2">
      <c r="GE3544"/>
      <c r="GF3544"/>
      <c r="GG3544"/>
      <c r="GH3544"/>
    </row>
    <row r="3545" spans="187:190" s="1" customFormat="1" ht="18" customHeight="1" x14ac:dyDescent="0.2">
      <c r="GE3545"/>
      <c r="GF3545"/>
      <c r="GG3545"/>
      <c r="GH3545"/>
    </row>
    <row r="3546" spans="187:190" s="1" customFormat="1" ht="18" customHeight="1" x14ac:dyDescent="0.2">
      <c r="GE3546"/>
      <c r="GF3546"/>
      <c r="GG3546"/>
      <c r="GH3546"/>
    </row>
    <row r="3547" spans="187:190" s="1" customFormat="1" ht="18" customHeight="1" x14ac:dyDescent="0.2">
      <c r="GE3547"/>
      <c r="GF3547"/>
      <c r="GG3547"/>
      <c r="GH3547"/>
    </row>
    <row r="3548" spans="187:190" s="1" customFormat="1" ht="18" customHeight="1" x14ac:dyDescent="0.2">
      <c r="GE3548"/>
      <c r="GF3548"/>
      <c r="GG3548"/>
      <c r="GH3548"/>
    </row>
    <row r="3549" spans="187:190" s="1" customFormat="1" ht="18" customHeight="1" x14ac:dyDescent="0.2">
      <c r="GE3549"/>
      <c r="GF3549"/>
      <c r="GG3549"/>
      <c r="GH3549"/>
    </row>
    <row r="3550" spans="187:190" s="1" customFormat="1" ht="18" customHeight="1" x14ac:dyDescent="0.2">
      <c r="GE3550"/>
      <c r="GF3550"/>
      <c r="GG3550"/>
      <c r="GH3550"/>
    </row>
    <row r="3551" spans="187:190" s="1" customFormat="1" ht="18" customHeight="1" x14ac:dyDescent="0.2">
      <c r="GE3551"/>
      <c r="GF3551"/>
      <c r="GG3551"/>
      <c r="GH3551"/>
    </row>
    <row r="3552" spans="187:190" s="1" customFormat="1" ht="18" customHeight="1" x14ac:dyDescent="0.2">
      <c r="GE3552"/>
      <c r="GF3552"/>
      <c r="GG3552"/>
      <c r="GH3552"/>
    </row>
    <row r="3553" spans="187:190" s="1" customFormat="1" ht="18" customHeight="1" x14ac:dyDescent="0.2">
      <c r="GE3553"/>
      <c r="GF3553"/>
      <c r="GG3553"/>
      <c r="GH3553"/>
    </row>
    <row r="3554" spans="187:190" s="1" customFormat="1" ht="18" customHeight="1" x14ac:dyDescent="0.2">
      <c r="GE3554"/>
      <c r="GF3554"/>
      <c r="GG3554"/>
      <c r="GH3554"/>
    </row>
    <row r="3555" spans="187:190" s="1" customFormat="1" ht="18" customHeight="1" x14ac:dyDescent="0.2">
      <c r="GE3555"/>
      <c r="GF3555"/>
      <c r="GG3555"/>
      <c r="GH3555"/>
    </row>
    <row r="3556" spans="187:190" s="1" customFormat="1" ht="18" customHeight="1" x14ac:dyDescent="0.2">
      <c r="GE3556"/>
      <c r="GF3556"/>
      <c r="GG3556"/>
      <c r="GH3556"/>
    </row>
    <row r="3557" spans="187:190" s="1" customFormat="1" ht="18" customHeight="1" x14ac:dyDescent="0.2">
      <c r="GE3557"/>
      <c r="GF3557"/>
      <c r="GG3557"/>
      <c r="GH3557"/>
    </row>
    <row r="3558" spans="187:190" s="1" customFormat="1" ht="18" customHeight="1" x14ac:dyDescent="0.2">
      <c r="GE3558"/>
      <c r="GF3558"/>
      <c r="GG3558"/>
      <c r="GH3558"/>
    </row>
    <row r="3559" spans="187:190" s="1" customFormat="1" ht="18" customHeight="1" x14ac:dyDescent="0.2">
      <c r="GE3559"/>
      <c r="GF3559"/>
      <c r="GG3559"/>
      <c r="GH3559"/>
    </row>
    <row r="3560" spans="187:190" s="1" customFormat="1" ht="18" customHeight="1" x14ac:dyDescent="0.2">
      <c r="GE3560"/>
      <c r="GF3560"/>
      <c r="GG3560"/>
      <c r="GH3560"/>
    </row>
    <row r="3561" spans="187:190" s="1" customFormat="1" ht="18" customHeight="1" x14ac:dyDescent="0.2">
      <c r="GE3561"/>
      <c r="GF3561"/>
      <c r="GG3561"/>
      <c r="GH3561"/>
    </row>
    <row r="3562" spans="187:190" s="1" customFormat="1" ht="18" customHeight="1" x14ac:dyDescent="0.2">
      <c r="GE3562"/>
      <c r="GF3562"/>
      <c r="GG3562"/>
      <c r="GH3562"/>
    </row>
    <row r="3563" spans="187:190" s="1" customFormat="1" ht="18" customHeight="1" x14ac:dyDescent="0.2">
      <c r="GE3563"/>
      <c r="GF3563"/>
      <c r="GG3563"/>
      <c r="GH3563"/>
    </row>
    <row r="3564" spans="187:190" s="1" customFormat="1" ht="18" customHeight="1" x14ac:dyDescent="0.2">
      <c r="GE3564"/>
      <c r="GF3564"/>
      <c r="GG3564"/>
      <c r="GH3564"/>
    </row>
    <row r="3565" spans="187:190" s="1" customFormat="1" ht="18" customHeight="1" x14ac:dyDescent="0.2">
      <c r="GE3565"/>
      <c r="GF3565"/>
      <c r="GG3565"/>
      <c r="GH3565"/>
    </row>
    <row r="3566" spans="187:190" s="1" customFormat="1" ht="18" customHeight="1" x14ac:dyDescent="0.2">
      <c r="GE3566"/>
      <c r="GF3566"/>
      <c r="GG3566"/>
      <c r="GH3566"/>
    </row>
    <row r="3567" spans="187:190" s="1" customFormat="1" ht="18" customHeight="1" x14ac:dyDescent="0.2">
      <c r="GE3567"/>
      <c r="GF3567"/>
      <c r="GG3567"/>
      <c r="GH3567"/>
    </row>
    <row r="3568" spans="187:190" s="1" customFormat="1" ht="18" customHeight="1" x14ac:dyDescent="0.2">
      <c r="GE3568"/>
      <c r="GF3568"/>
      <c r="GG3568"/>
      <c r="GH3568"/>
    </row>
    <row r="3569" spans="187:190" s="1" customFormat="1" ht="18" customHeight="1" x14ac:dyDescent="0.2">
      <c r="GE3569"/>
      <c r="GF3569"/>
      <c r="GG3569"/>
      <c r="GH3569"/>
    </row>
    <row r="3570" spans="187:190" s="1" customFormat="1" ht="18" customHeight="1" x14ac:dyDescent="0.2">
      <c r="GE3570"/>
      <c r="GF3570"/>
      <c r="GG3570"/>
      <c r="GH3570"/>
    </row>
    <row r="3571" spans="187:190" s="1" customFormat="1" ht="18" customHeight="1" x14ac:dyDescent="0.2">
      <c r="GE3571"/>
      <c r="GF3571"/>
      <c r="GG3571"/>
      <c r="GH3571"/>
    </row>
    <row r="3572" spans="187:190" s="1" customFormat="1" ht="18" customHeight="1" x14ac:dyDescent="0.2">
      <c r="GE3572"/>
      <c r="GF3572"/>
      <c r="GG3572"/>
      <c r="GH3572"/>
    </row>
    <row r="3573" spans="187:190" s="1" customFormat="1" ht="18" customHeight="1" x14ac:dyDescent="0.2">
      <c r="GE3573"/>
      <c r="GF3573"/>
      <c r="GG3573"/>
      <c r="GH3573"/>
    </row>
    <row r="3574" spans="187:190" s="1" customFormat="1" ht="18" customHeight="1" x14ac:dyDescent="0.2">
      <c r="GE3574"/>
      <c r="GF3574"/>
      <c r="GG3574"/>
      <c r="GH3574"/>
    </row>
    <row r="3575" spans="187:190" s="1" customFormat="1" ht="18" customHeight="1" x14ac:dyDescent="0.2">
      <c r="GE3575"/>
      <c r="GF3575"/>
      <c r="GG3575"/>
      <c r="GH3575"/>
    </row>
    <row r="3576" spans="187:190" s="1" customFormat="1" ht="18" customHeight="1" x14ac:dyDescent="0.2">
      <c r="GE3576"/>
      <c r="GF3576"/>
      <c r="GG3576"/>
      <c r="GH3576"/>
    </row>
    <row r="3577" spans="187:190" s="1" customFormat="1" ht="18" customHeight="1" x14ac:dyDescent="0.2">
      <c r="GE3577"/>
      <c r="GF3577"/>
      <c r="GG3577"/>
      <c r="GH3577"/>
    </row>
    <row r="3578" spans="187:190" s="1" customFormat="1" ht="18" customHeight="1" x14ac:dyDescent="0.2">
      <c r="GE3578"/>
      <c r="GF3578"/>
      <c r="GG3578"/>
      <c r="GH3578"/>
    </row>
    <row r="3579" spans="187:190" s="1" customFormat="1" ht="18" customHeight="1" x14ac:dyDescent="0.2">
      <c r="GE3579"/>
      <c r="GF3579"/>
      <c r="GG3579"/>
      <c r="GH3579"/>
    </row>
    <row r="3580" spans="187:190" s="1" customFormat="1" ht="18" customHeight="1" x14ac:dyDescent="0.2">
      <c r="GE3580"/>
      <c r="GF3580"/>
      <c r="GG3580"/>
      <c r="GH3580"/>
    </row>
    <row r="3581" spans="187:190" s="1" customFormat="1" ht="18" customHeight="1" x14ac:dyDescent="0.2">
      <c r="GE3581"/>
      <c r="GF3581"/>
      <c r="GG3581"/>
      <c r="GH3581"/>
    </row>
    <row r="3582" spans="187:190" s="1" customFormat="1" ht="18" customHeight="1" x14ac:dyDescent="0.2">
      <c r="GE3582"/>
      <c r="GF3582"/>
      <c r="GG3582"/>
      <c r="GH3582"/>
    </row>
    <row r="3583" spans="187:190" s="1" customFormat="1" ht="18" customHeight="1" x14ac:dyDescent="0.2">
      <c r="GE3583"/>
      <c r="GF3583"/>
      <c r="GG3583"/>
      <c r="GH3583"/>
    </row>
    <row r="3584" spans="187:190" s="1" customFormat="1" ht="18" customHeight="1" x14ac:dyDescent="0.2">
      <c r="GE3584"/>
      <c r="GF3584"/>
      <c r="GG3584"/>
      <c r="GH3584"/>
    </row>
    <row r="3585" spans="187:190" s="1" customFormat="1" ht="18" customHeight="1" x14ac:dyDescent="0.2">
      <c r="GE3585"/>
      <c r="GF3585"/>
      <c r="GG3585"/>
      <c r="GH3585"/>
    </row>
    <row r="3586" spans="187:190" s="1" customFormat="1" ht="18" customHeight="1" x14ac:dyDescent="0.2">
      <c r="GE3586"/>
      <c r="GF3586"/>
      <c r="GG3586"/>
      <c r="GH3586"/>
    </row>
    <row r="3587" spans="187:190" s="1" customFormat="1" ht="18" customHeight="1" x14ac:dyDescent="0.2">
      <c r="GE3587"/>
      <c r="GF3587"/>
      <c r="GG3587"/>
      <c r="GH3587"/>
    </row>
    <row r="3588" spans="187:190" s="1" customFormat="1" ht="18" customHeight="1" x14ac:dyDescent="0.2">
      <c r="GE3588"/>
      <c r="GF3588"/>
      <c r="GG3588"/>
      <c r="GH3588"/>
    </row>
    <row r="3589" spans="187:190" s="1" customFormat="1" ht="18" customHeight="1" x14ac:dyDescent="0.2">
      <c r="GE3589"/>
      <c r="GF3589"/>
      <c r="GG3589"/>
      <c r="GH3589"/>
    </row>
    <row r="3590" spans="187:190" s="1" customFormat="1" ht="18" customHeight="1" x14ac:dyDescent="0.2">
      <c r="GE3590"/>
      <c r="GF3590"/>
      <c r="GG3590"/>
      <c r="GH3590"/>
    </row>
    <row r="3591" spans="187:190" s="1" customFormat="1" ht="18" customHeight="1" x14ac:dyDescent="0.2">
      <c r="GE3591"/>
      <c r="GF3591"/>
      <c r="GG3591"/>
      <c r="GH3591"/>
    </row>
    <row r="3592" spans="187:190" s="1" customFormat="1" ht="18" customHeight="1" x14ac:dyDescent="0.2">
      <c r="GE3592"/>
      <c r="GF3592"/>
      <c r="GG3592"/>
      <c r="GH3592"/>
    </row>
    <row r="3593" spans="187:190" s="1" customFormat="1" ht="18" customHeight="1" x14ac:dyDescent="0.2">
      <c r="GE3593"/>
      <c r="GF3593"/>
      <c r="GG3593"/>
      <c r="GH3593"/>
    </row>
    <row r="3594" spans="187:190" s="1" customFormat="1" ht="18" customHeight="1" x14ac:dyDescent="0.2">
      <c r="GE3594"/>
      <c r="GF3594"/>
      <c r="GG3594"/>
      <c r="GH3594"/>
    </row>
    <row r="3595" spans="187:190" s="1" customFormat="1" ht="18" customHeight="1" x14ac:dyDescent="0.2">
      <c r="GE3595"/>
      <c r="GF3595"/>
      <c r="GG3595"/>
      <c r="GH3595"/>
    </row>
    <row r="3596" spans="187:190" s="1" customFormat="1" ht="18" customHeight="1" x14ac:dyDescent="0.2">
      <c r="GE3596"/>
      <c r="GF3596"/>
      <c r="GG3596"/>
      <c r="GH3596"/>
    </row>
    <row r="3597" spans="187:190" s="1" customFormat="1" ht="18" customHeight="1" x14ac:dyDescent="0.2">
      <c r="GE3597"/>
      <c r="GF3597"/>
      <c r="GG3597"/>
      <c r="GH3597"/>
    </row>
    <row r="3598" spans="187:190" s="1" customFormat="1" ht="18" customHeight="1" x14ac:dyDescent="0.2">
      <c r="GE3598"/>
      <c r="GF3598"/>
      <c r="GG3598"/>
      <c r="GH3598"/>
    </row>
    <row r="3599" spans="187:190" s="1" customFormat="1" ht="18" customHeight="1" x14ac:dyDescent="0.2">
      <c r="GE3599"/>
      <c r="GF3599"/>
      <c r="GG3599"/>
      <c r="GH3599"/>
    </row>
    <row r="3600" spans="187:190" s="1" customFormat="1" ht="18" customHeight="1" x14ac:dyDescent="0.2">
      <c r="GE3600"/>
      <c r="GF3600"/>
      <c r="GG3600"/>
      <c r="GH3600"/>
    </row>
    <row r="3601" spans="187:190" s="1" customFormat="1" ht="18" customHeight="1" x14ac:dyDescent="0.2">
      <c r="GE3601"/>
      <c r="GF3601"/>
      <c r="GG3601"/>
      <c r="GH3601"/>
    </row>
    <row r="3602" spans="187:190" s="1" customFormat="1" ht="18" customHeight="1" x14ac:dyDescent="0.2">
      <c r="GE3602"/>
      <c r="GF3602"/>
      <c r="GG3602"/>
      <c r="GH3602"/>
    </row>
    <row r="3603" spans="187:190" s="1" customFormat="1" ht="18" customHeight="1" x14ac:dyDescent="0.2">
      <c r="GE3603"/>
      <c r="GF3603"/>
      <c r="GG3603"/>
      <c r="GH3603"/>
    </row>
    <row r="3604" spans="187:190" s="1" customFormat="1" ht="18" customHeight="1" x14ac:dyDescent="0.2">
      <c r="GE3604"/>
      <c r="GF3604"/>
      <c r="GG3604"/>
      <c r="GH3604"/>
    </row>
    <row r="3605" spans="187:190" s="1" customFormat="1" ht="18" customHeight="1" x14ac:dyDescent="0.2">
      <c r="GE3605"/>
      <c r="GF3605"/>
      <c r="GG3605"/>
      <c r="GH3605"/>
    </row>
    <row r="3606" spans="187:190" s="1" customFormat="1" ht="18" customHeight="1" x14ac:dyDescent="0.2">
      <c r="GE3606"/>
      <c r="GF3606"/>
      <c r="GG3606"/>
      <c r="GH3606"/>
    </row>
    <row r="3607" spans="187:190" s="1" customFormat="1" ht="18" customHeight="1" x14ac:dyDescent="0.2">
      <c r="GE3607"/>
      <c r="GF3607"/>
      <c r="GG3607"/>
      <c r="GH3607"/>
    </row>
    <row r="3608" spans="187:190" s="1" customFormat="1" ht="18" customHeight="1" x14ac:dyDescent="0.2">
      <c r="GE3608"/>
      <c r="GF3608"/>
      <c r="GG3608"/>
      <c r="GH3608"/>
    </row>
    <row r="3609" spans="187:190" s="1" customFormat="1" ht="18" customHeight="1" x14ac:dyDescent="0.2">
      <c r="GE3609"/>
      <c r="GF3609"/>
      <c r="GG3609"/>
      <c r="GH3609"/>
    </row>
    <row r="3610" spans="187:190" s="1" customFormat="1" ht="18" customHeight="1" x14ac:dyDescent="0.2">
      <c r="GE3610"/>
      <c r="GF3610"/>
      <c r="GG3610"/>
      <c r="GH3610"/>
    </row>
    <row r="3611" spans="187:190" s="1" customFormat="1" ht="18" customHeight="1" x14ac:dyDescent="0.2">
      <c r="GE3611"/>
      <c r="GF3611"/>
      <c r="GG3611"/>
      <c r="GH3611"/>
    </row>
    <row r="3612" spans="187:190" s="1" customFormat="1" ht="18" customHeight="1" x14ac:dyDescent="0.2">
      <c r="GE3612"/>
      <c r="GF3612"/>
      <c r="GG3612"/>
      <c r="GH3612"/>
    </row>
    <row r="3613" spans="187:190" s="1" customFormat="1" ht="18" customHeight="1" x14ac:dyDescent="0.2">
      <c r="GE3613"/>
      <c r="GF3613"/>
      <c r="GG3613"/>
      <c r="GH3613"/>
    </row>
    <row r="3614" spans="187:190" s="1" customFormat="1" ht="18" customHeight="1" x14ac:dyDescent="0.2">
      <c r="GE3614"/>
      <c r="GF3614"/>
      <c r="GG3614"/>
      <c r="GH3614"/>
    </row>
    <row r="3615" spans="187:190" s="1" customFormat="1" ht="18" customHeight="1" x14ac:dyDescent="0.2">
      <c r="GE3615"/>
      <c r="GF3615"/>
      <c r="GG3615"/>
      <c r="GH3615"/>
    </row>
    <row r="3616" spans="187:190" s="1" customFormat="1" ht="18" customHeight="1" x14ac:dyDescent="0.2">
      <c r="GE3616"/>
      <c r="GF3616"/>
      <c r="GG3616"/>
      <c r="GH3616"/>
    </row>
    <row r="3617" spans="187:190" s="1" customFormat="1" ht="18" customHeight="1" x14ac:dyDescent="0.2">
      <c r="GE3617"/>
      <c r="GF3617"/>
      <c r="GG3617"/>
      <c r="GH3617"/>
    </row>
    <row r="3618" spans="187:190" s="1" customFormat="1" ht="18" customHeight="1" x14ac:dyDescent="0.2">
      <c r="GE3618"/>
      <c r="GF3618"/>
      <c r="GG3618"/>
      <c r="GH3618"/>
    </row>
    <row r="3619" spans="187:190" s="1" customFormat="1" ht="18" customHeight="1" x14ac:dyDescent="0.2">
      <c r="GE3619"/>
      <c r="GF3619"/>
      <c r="GG3619"/>
      <c r="GH3619"/>
    </row>
    <row r="3620" spans="187:190" s="1" customFormat="1" ht="18" customHeight="1" x14ac:dyDescent="0.2">
      <c r="GE3620"/>
      <c r="GF3620"/>
      <c r="GG3620"/>
      <c r="GH3620"/>
    </row>
    <row r="3621" spans="187:190" s="1" customFormat="1" ht="18" customHeight="1" x14ac:dyDescent="0.2">
      <c r="GE3621"/>
      <c r="GF3621"/>
      <c r="GG3621"/>
      <c r="GH3621"/>
    </row>
    <row r="3622" spans="187:190" s="1" customFormat="1" ht="18" customHeight="1" x14ac:dyDescent="0.2">
      <c r="GE3622"/>
      <c r="GF3622"/>
      <c r="GG3622"/>
      <c r="GH3622"/>
    </row>
    <row r="3623" spans="187:190" s="1" customFormat="1" ht="18" customHeight="1" x14ac:dyDescent="0.2">
      <c r="GE3623"/>
      <c r="GF3623"/>
      <c r="GG3623"/>
      <c r="GH3623"/>
    </row>
    <row r="3624" spans="187:190" s="1" customFormat="1" ht="18" customHeight="1" x14ac:dyDescent="0.2">
      <c r="GE3624"/>
      <c r="GF3624"/>
      <c r="GG3624"/>
      <c r="GH3624"/>
    </row>
    <row r="3625" spans="187:190" s="1" customFormat="1" ht="18" customHeight="1" x14ac:dyDescent="0.2">
      <c r="GE3625"/>
      <c r="GF3625"/>
      <c r="GG3625"/>
      <c r="GH3625"/>
    </row>
    <row r="3626" spans="187:190" s="1" customFormat="1" ht="18" customHeight="1" x14ac:dyDescent="0.2">
      <c r="GE3626"/>
      <c r="GF3626"/>
      <c r="GG3626"/>
      <c r="GH3626"/>
    </row>
    <row r="3627" spans="187:190" s="1" customFormat="1" ht="18" customHeight="1" x14ac:dyDescent="0.2">
      <c r="GE3627"/>
      <c r="GF3627"/>
      <c r="GG3627"/>
      <c r="GH3627"/>
    </row>
    <row r="3628" spans="187:190" s="1" customFormat="1" ht="18" customHeight="1" x14ac:dyDescent="0.2">
      <c r="GE3628"/>
      <c r="GF3628"/>
      <c r="GG3628"/>
      <c r="GH3628"/>
    </row>
    <row r="3629" spans="187:190" s="1" customFormat="1" ht="18" customHeight="1" x14ac:dyDescent="0.2">
      <c r="GE3629"/>
      <c r="GF3629"/>
      <c r="GG3629"/>
      <c r="GH3629"/>
    </row>
    <row r="3630" spans="187:190" s="1" customFormat="1" ht="18" customHeight="1" x14ac:dyDescent="0.2">
      <c r="GE3630"/>
      <c r="GF3630"/>
      <c r="GG3630"/>
      <c r="GH3630"/>
    </row>
    <row r="3631" spans="187:190" s="1" customFormat="1" ht="18" customHeight="1" x14ac:dyDescent="0.2">
      <c r="GE3631"/>
      <c r="GF3631"/>
      <c r="GG3631"/>
      <c r="GH3631"/>
    </row>
    <row r="3632" spans="187:190" s="1" customFormat="1" ht="18" customHeight="1" x14ac:dyDescent="0.2">
      <c r="GE3632"/>
      <c r="GF3632"/>
      <c r="GG3632"/>
      <c r="GH3632"/>
    </row>
    <row r="3633" spans="187:190" s="1" customFormat="1" ht="18" customHeight="1" x14ac:dyDescent="0.2">
      <c r="GE3633"/>
      <c r="GF3633"/>
      <c r="GG3633"/>
      <c r="GH3633"/>
    </row>
    <row r="3634" spans="187:190" s="1" customFormat="1" ht="18" customHeight="1" x14ac:dyDescent="0.2">
      <c r="GE3634"/>
      <c r="GF3634"/>
      <c r="GG3634"/>
      <c r="GH3634"/>
    </row>
    <row r="3635" spans="187:190" s="1" customFormat="1" ht="18" customHeight="1" x14ac:dyDescent="0.2">
      <c r="GE3635"/>
      <c r="GF3635"/>
      <c r="GG3635"/>
      <c r="GH3635"/>
    </row>
    <row r="3636" spans="187:190" s="1" customFormat="1" ht="18" customHeight="1" x14ac:dyDescent="0.2">
      <c r="GE3636"/>
      <c r="GF3636"/>
      <c r="GG3636"/>
      <c r="GH3636"/>
    </row>
    <row r="3637" spans="187:190" s="1" customFormat="1" ht="18" customHeight="1" x14ac:dyDescent="0.2">
      <c r="GE3637"/>
      <c r="GF3637"/>
      <c r="GG3637"/>
      <c r="GH3637"/>
    </row>
    <row r="3638" spans="187:190" s="1" customFormat="1" ht="18" customHeight="1" x14ac:dyDescent="0.2">
      <c r="GE3638"/>
      <c r="GF3638"/>
      <c r="GG3638"/>
      <c r="GH3638"/>
    </row>
    <row r="3639" spans="187:190" s="1" customFormat="1" ht="18" customHeight="1" x14ac:dyDescent="0.2">
      <c r="GE3639"/>
      <c r="GF3639"/>
      <c r="GG3639"/>
      <c r="GH3639"/>
    </row>
    <row r="3640" spans="187:190" s="1" customFormat="1" ht="18" customHeight="1" x14ac:dyDescent="0.2">
      <c r="GE3640"/>
      <c r="GF3640"/>
      <c r="GG3640"/>
      <c r="GH3640"/>
    </row>
    <row r="3641" spans="187:190" s="1" customFormat="1" ht="18" customHeight="1" x14ac:dyDescent="0.2">
      <c r="GE3641"/>
      <c r="GF3641"/>
      <c r="GG3641"/>
      <c r="GH3641"/>
    </row>
    <row r="3642" spans="187:190" s="1" customFormat="1" ht="18" customHeight="1" x14ac:dyDescent="0.2">
      <c r="GE3642"/>
      <c r="GF3642"/>
      <c r="GG3642"/>
      <c r="GH3642"/>
    </row>
    <row r="3643" spans="187:190" s="1" customFormat="1" ht="18" customHeight="1" x14ac:dyDescent="0.2">
      <c r="GE3643"/>
      <c r="GF3643"/>
      <c r="GG3643"/>
      <c r="GH3643"/>
    </row>
    <row r="3644" spans="187:190" s="1" customFormat="1" ht="18" customHeight="1" x14ac:dyDescent="0.2">
      <c r="GE3644"/>
      <c r="GF3644"/>
      <c r="GG3644"/>
      <c r="GH3644"/>
    </row>
    <row r="3645" spans="187:190" s="1" customFormat="1" ht="18" customHeight="1" x14ac:dyDescent="0.2">
      <c r="GE3645"/>
      <c r="GF3645"/>
      <c r="GG3645"/>
      <c r="GH3645"/>
    </row>
    <row r="3646" spans="187:190" s="1" customFormat="1" ht="18" customHeight="1" x14ac:dyDescent="0.2">
      <c r="GE3646"/>
      <c r="GF3646"/>
      <c r="GG3646"/>
      <c r="GH3646"/>
    </row>
    <row r="3647" spans="187:190" s="1" customFormat="1" ht="18" customHeight="1" x14ac:dyDescent="0.2">
      <c r="GE3647"/>
      <c r="GF3647"/>
      <c r="GG3647"/>
      <c r="GH3647"/>
    </row>
    <row r="3648" spans="187:190" s="1" customFormat="1" ht="18" customHeight="1" x14ac:dyDescent="0.2">
      <c r="GE3648"/>
      <c r="GF3648"/>
      <c r="GG3648"/>
      <c r="GH3648"/>
    </row>
    <row r="3649" spans="187:190" s="1" customFormat="1" ht="18" customHeight="1" x14ac:dyDescent="0.2">
      <c r="GE3649"/>
      <c r="GF3649"/>
      <c r="GG3649"/>
      <c r="GH3649"/>
    </row>
    <row r="3650" spans="187:190" s="1" customFormat="1" ht="18" customHeight="1" x14ac:dyDescent="0.2">
      <c r="GE3650"/>
      <c r="GF3650"/>
      <c r="GG3650"/>
      <c r="GH3650"/>
    </row>
    <row r="3651" spans="187:190" s="1" customFormat="1" ht="18" customHeight="1" x14ac:dyDescent="0.2">
      <c r="GE3651"/>
      <c r="GF3651"/>
      <c r="GG3651"/>
      <c r="GH3651"/>
    </row>
    <row r="3652" spans="187:190" s="1" customFormat="1" ht="18" customHeight="1" x14ac:dyDescent="0.2">
      <c r="GE3652"/>
      <c r="GF3652"/>
      <c r="GG3652"/>
      <c r="GH3652"/>
    </row>
    <row r="3653" spans="187:190" s="1" customFormat="1" ht="18" customHeight="1" x14ac:dyDescent="0.2">
      <c r="GE3653"/>
      <c r="GF3653"/>
      <c r="GG3653"/>
      <c r="GH3653"/>
    </row>
    <row r="3654" spans="187:190" s="1" customFormat="1" ht="18" customHeight="1" x14ac:dyDescent="0.2">
      <c r="GE3654"/>
      <c r="GF3654"/>
      <c r="GG3654"/>
      <c r="GH3654"/>
    </row>
    <row r="3655" spans="187:190" s="1" customFormat="1" ht="18" customHeight="1" x14ac:dyDescent="0.2">
      <c r="GE3655"/>
      <c r="GF3655"/>
      <c r="GG3655"/>
      <c r="GH3655"/>
    </row>
    <row r="3656" spans="187:190" s="1" customFormat="1" ht="18" customHeight="1" x14ac:dyDescent="0.2">
      <c r="GE3656"/>
      <c r="GF3656"/>
      <c r="GG3656"/>
      <c r="GH3656"/>
    </row>
    <row r="3657" spans="187:190" s="1" customFormat="1" ht="18" customHeight="1" x14ac:dyDescent="0.2">
      <c r="GE3657"/>
      <c r="GF3657"/>
      <c r="GG3657"/>
      <c r="GH3657"/>
    </row>
    <row r="3658" spans="187:190" s="1" customFormat="1" ht="18" customHeight="1" x14ac:dyDescent="0.2">
      <c r="GE3658"/>
      <c r="GF3658"/>
      <c r="GG3658"/>
      <c r="GH3658"/>
    </row>
    <row r="3659" spans="187:190" s="1" customFormat="1" ht="18" customHeight="1" x14ac:dyDescent="0.2">
      <c r="GE3659"/>
      <c r="GF3659"/>
      <c r="GG3659"/>
      <c r="GH3659"/>
    </row>
    <row r="3660" spans="187:190" s="1" customFormat="1" ht="18" customHeight="1" x14ac:dyDescent="0.2">
      <c r="GE3660"/>
      <c r="GF3660"/>
      <c r="GG3660"/>
      <c r="GH3660"/>
    </row>
    <row r="3661" spans="187:190" s="1" customFormat="1" ht="18" customHeight="1" x14ac:dyDescent="0.2">
      <c r="GE3661"/>
      <c r="GF3661"/>
      <c r="GG3661"/>
      <c r="GH3661"/>
    </row>
    <row r="3662" spans="187:190" s="1" customFormat="1" ht="18" customHeight="1" x14ac:dyDescent="0.2">
      <c r="GE3662"/>
      <c r="GF3662"/>
      <c r="GG3662"/>
      <c r="GH3662"/>
    </row>
    <row r="3663" spans="187:190" s="1" customFormat="1" ht="18" customHeight="1" x14ac:dyDescent="0.2">
      <c r="GE3663"/>
      <c r="GF3663"/>
      <c r="GG3663"/>
      <c r="GH3663"/>
    </row>
    <row r="3664" spans="187:190" s="1" customFormat="1" ht="18" customHeight="1" x14ac:dyDescent="0.2">
      <c r="GE3664"/>
      <c r="GF3664"/>
      <c r="GG3664"/>
      <c r="GH3664"/>
    </row>
    <row r="3665" spans="187:190" s="1" customFormat="1" ht="18" customHeight="1" x14ac:dyDescent="0.2">
      <c r="GE3665"/>
      <c r="GF3665"/>
      <c r="GG3665"/>
      <c r="GH3665"/>
    </row>
    <row r="3666" spans="187:190" s="1" customFormat="1" ht="18" customHeight="1" x14ac:dyDescent="0.2">
      <c r="GE3666"/>
      <c r="GF3666"/>
      <c r="GG3666"/>
      <c r="GH3666"/>
    </row>
    <row r="3667" spans="187:190" s="1" customFormat="1" ht="18" customHeight="1" x14ac:dyDescent="0.2">
      <c r="GE3667"/>
      <c r="GF3667"/>
      <c r="GG3667"/>
      <c r="GH3667"/>
    </row>
    <row r="3668" spans="187:190" s="1" customFormat="1" ht="18" customHeight="1" x14ac:dyDescent="0.2">
      <c r="GE3668"/>
      <c r="GF3668"/>
      <c r="GG3668"/>
      <c r="GH3668"/>
    </row>
    <row r="3669" spans="187:190" s="1" customFormat="1" ht="18" customHeight="1" x14ac:dyDescent="0.2">
      <c r="GE3669"/>
      <c r="GF3669"/>
      <c r="GG3669"/>
      <c r="GH3669"/>
    </row>
    <row r="3670" spans="187:190" s="1" customFormat="1" ht="18" customHeight="1" x14ac:dyDescent="0.2">
      <c r="GE3670"/>
      <c r="GF3670"/>
      <c r="GG3670"/>
      <c r="GH3670"/>
    </row>
    <row r="3671" spans="187:190" s="1" customFormat="1" ht="18" customHeight="1" x14ac:dyDescent="0.2">
      <c r="GE3671"/>
      <c r="GF3671"/>
      <c r="GG3671"/>
      <c r="GH3671"/>
    </row>
    <row r="3672" spans="187:190" s="1" customFormat="1" ht="18" customHeight="1" x14ac:dyDescent="0.2">
      <c r="GE3672"/>
      <c r="GF3672"/>
      <c r="GG3672"/>
      <c r="GH3672"/>
    </row>
    <row r="3673" spans="187:190" s="1" customFormat="1" ht="18" customHeight="1" x14ac:dyDescent="0.2">
      <c r="GE3673"/>
      <c r="GF3673"/>
      <c r="GG3673"/>
      <c r="GH3673"/>
    </row>
    <row r="3674" spans="187:190" s="1" customFormat="1" ht="18" customHeight="1" x14ac:dyDescent="0.2">
      <c r="GE3674"/>
      <c r="GF3674"/>
      <c r="GG3674"/>
      <c r="GH3674"/>
    </row>
    <row r="3675" spans="187:190" s="1" customFormat="1" ht="18" customHeight="1" x14ac:dyDescent="0.2">
      <c r="GE3675"/>
      <c r="GF3675"/>
      <c r="GG3675"/>
      <c r="GH3675"/>
    </row>
    <row r="3676" spans="187:190" s="1" customFormat="1" ht="18" customHeight="1" x14ac:dyDescent="0.2">
      <c r="GE3676"/>
      <c r="GF3676"/>
      <c r="GG3676"/>
      <c r="GH3676"/>
    </row>
    <row r="3677" spans="187:190" s="1" customFormat="1" ht="18" customHeight="1" x14ac:dyDescent="0.2">
      <c r="GE3677"/>
      <c r="GF3677"/>
      <c r="GG3677"/>
      <c r="GH3677"/>
    </row>
    <row r="3678" spans="187:190" s="1" customFormat="1" ht="18" customHeight="1" x14ac:dyDescent="0.2">
      <c r="GE3678"/>
      <c r="GF3678"/>
      <c r="GG3678"/>
      <c r="GH3678"/>
    </row>
    <row r="3679" spans="187:190" s="1" customFormat="1" ht="18" customHeight="1" x14ac:dyDescent="0.2">
      <c r="GE3679"/>
      <c r="GF3679"/>
      <c r="GG3679"/>
      <c r="GH3679"/>
    </row>
    <row r="3680" spans="187:190" s="1" customFormat="1" ht="18" customHeight="1" x14ac:dyDescent="0.2">
      <c r="GE3680"/>
      <c r="GF3680"/>
      <c r="GG3680"/>
      <c r="GH3680"/>
    </row>
    <row r="3681" spans="187:190" s="1" customFormat="1" ht="18" customHeight="1" x14ac:dyDescent="0.2">
      <c r="GE3681"/>
      <c r="GF3681"/>
      <c r="GG3681"/>
      <c r="GH3681"/>
    </row>
    <row r="3682" spans="187:190" s="1" customFormat="1" ht="18" customHeight="1" x14ac:dyDescent="0.2">
      <c r="GE3682"/>
      <c r="GF3682"/>
      <c r="GG3682"/>
      <c r="GH3682"/>
    </row>
    <row r="3683" spans="187:190" s="1" customFormat="1" ht="18" customHeight="1" x14ac:dyDescent="0.2">
      <c r="GE3683"/>
      <c r="GF3683"/>
      <c r="GG3683"/>
      <c r="GH3683"/>
    </row>
    <row r="3684" spans="187:190" s="1" customFormat="1" ht="18" customHeight="1" x14ac:dyDescent="0.2">
      <c r="GE3684"/>
      <c r="GF3684"/>
      <c r="GG3684"/>
      <c r="GH3684"/>
    </row>
    <row r="3685" spans="187:190" s="1" customFormat="1" ht="18" customHeight="1" x14ac:dyDescent="0.2">
      <c r="GE3685"/>
      <c r="GF3685"/>
      <c r="GG3685"/>
      <c r="GH3685"/>
    </row>
    <row r="3686" spans="187:190" s="1" customFormat="1" ht="18" customHeight="1" x14ac:dyDescent="0.2">
      <c r="GE3686"/>
      <c r="GF3686"/>
      <c r="GG3686"/>
      <c r="GH3686"/>
    </row>
    <row r="3687" spans="187:190" s="1" customFormat="1" ht="18" customHeight="1" x14ac:dyDescent="0.2">
      <c r="GE3687"/>
      <c r="GF3687"/>
      <c r="GG3687"/>
      <c r="GH3687"/>
    </row>
    <row r="3688" spans="187:190" s="1" customFormat="1" ht="18" customHeight="1" x14ac:dyDescent="0.2">
      <c r="GE3688"/>
      <c r="GF3688"/>
      <c r="GG3688"/>
      <c r="GH3688"/>
    </row>
    <row r="3689" spans="187:190" s="1" customFormat="1" ht="18" customHeight="1" x14ac:dyDescent="0.2">
      <c r="GE3689"/>
      <c r="GF3689"/>
      <c r="GG3689"/>
      <c r="GH3689"/>
    </row>
    <row r="3690" spans="187:190" s="1" customFormat="1" ht="18" customHeight="1" x14ac:dyDescent="0.2">
      <c r="GE3690"/>
      <c r="GF3690"/>
      <c r="GG3690"/>
      <c r="GH3690"/>
    </row>
    <row r="3691" spans="187:190" s="1" customFormat="1" ht="18" customHeight="1" x14ac:dyDescent="0.2">
      <c r="GE3691"/>
      <c r="GF3691"/>
      <c r="GG3691"/>
      <c r="GH3691"/>
    </row>
    <row r="3692" spans="187:190" s="1" customFormat="1" ht="18" customHeight="1" x14ac:dyDescent="0.2">
      <c r="GE3692"/>
      <c r="GF3692"/>
      <c r="GG3692"/>
      <c r="GH3692"/>
    </row>
    <row r="3693" spans="187:190" s="1" customFormat="1" ht="18" customHeight="1" x14ac:dyDescent="0.2">
      <c r="GE3693"/>
      <c r="GF3693"/>
      <c r="GG3693"/>
      <c r="GH3693"/>
    </row>
    <row r="3694" spans="187:190" s="1" customFormat="1" ht="18" customHeight="1" x14ac:dyDescent="0.2">
      <c r="GE3694"/>
      <c r="GF3694"/>
      <c r="GG3694"/>
      <c r="GH3694"/>
    </row>
    <row r="3695" spans="187:190" s="1" customFormat="1" ht="18" customHeight="1" x14ac:dyDescent="0.2">
      <c r="GE3695"/>
      <c r="GF3695"/>
      <c r="GG3695"/>
      <c r="GH3695"/>
    </row>
    <row r="3696" spans="187:190" s="1" customFormat="1" ht="18" customHeight="1" x14ac:dyDescent="0.2">
      <c r="GE3696"/>
      <c r="GF3696"/>
      <c r="GG3696"/>
      <c r="GH3696"/>
    </row>
    <row r="3697" spans="187:190" s="1" customFormat="1" ht="18" customHeight="1" x14ac:dyDescent="0.2">
      <c r="GE3697"/>
      <c r="GF3697"/>
      <c r="GG3697"/>
      <c r="GH3697"/>
    </row>
    <row r="3698" spans="187:190" s="1" customFormat="1" ht="18" customHeight="1" x14ac:dyDescent="0.2">
      <c r="GE3698"/>
      <c r="GF3698"/>
      <c r="GG3698"/>
      <c r="GH3698"/>
    </row>
    <row r="3699" spans="187:190" s="1" customFormat="1" ht="18" customHeight="1" x14ac:dyDescent="0.2">
      <c r="GE3699"/>
      <c r="GF3699"/>
      <c r="GG3699"/>
      <c r="GH3699"/>
    </row>
    <row r="3700" spans="187:190" s="1" customFormat="1" ht="18" customHeight="1" x14ac:dyDescent="0.2">
      <c r="GE3700"/>
      <c r="GF3700"/>
      <c r="GG3700"/>
      <c r="GH3700"/>
    </row>
    <row r="3701" spans="187:190" s="1" customFormat="1" ht="18" customHeight="1" x14ac:dyDescent="0.2">
      <c r="GE3701"/>
      <c r="GF3701"/>
      <c r="GG3701"/>
      <c r="GH3701"/>
    </row>
    <row r="3702" spans="187:190" s="1" customFormat="1" ht="18" customHeight="1" x14ac:dyDescent="0.2">
      <c r="GE3702"/>
      <c r="GF3702"/>
      <c r="GG3702"/>
      <c r="GH3702"/>
    </row>
    <row r="3703" spans="187:190" s="1" customFormat="1" ht="18" customHeight="1" x14ac:dyDescent="0.2">
      <c r="GE3703"/>
      <c r="GF3703"/>
      <c r="GG3703"/>
      <c r="GH3703"/>
    </row>
    <row r="3704" spans="187:190" s="1" customFormat="1" ht="18" customHeight="1" x14ac:dyDescent="0.2">
      <c r="GE3704"/>
      <c r="GF3704"/>
      <c r="GG3704"/>
      <c r="GH3704"/>
    </row>
    <row r="3705" spans="187:190" s="1" customFormat="1" ht="18" customHeight="1" x14ac:dyDescent="0.2">
      <c r="GE3705"/>
      <c r="GF3705"/>
      <c r="GG3705"/>
      <c r="GH3705"/>
    </row>
    <row r="3706" spans="187:190" s="1" customFormat="1" ht="18" customHeight="1" x14ac:dyDescent="0.2">
      <c r="GE3706"/>
      <c r="GF3706"/>
      <c r="GG3706"/>
      <c r="GH3706"/>
    </row>
    <row r="3707" spans="187:190" s="1" customFormat="1" ht="18" customHeight="1" x14ac:dyDescent="0.2">
      <c r="GE3707"/>
      <c r="GF3707"/>
      <c r="GG3707"/>
      <c r="GH3707"/>
    </row>
    <row r="3708" spans="187:190" s="1" customFormat="1" ht="18" customHeight="1" x14ac:dyDescent="0.2">
      <c r="GE3708"/>
      <c r="GF3708"/>
      <c r="GG3708"/>
      <c r="GH3708"/>
    </row>
    <row r="3709" spans="187:190" s="1" customFormat="1" ht="18" customHeight="1" x14ac:dyDescent="0.2">
      <c r="GE3709"/>
      <c r="GF3709"/>
      <c r="GG3709"/>
      <c r="GH3709"/>
    </row>
    <row r="3710" spans="187:190" s="1" customFormat="1" ht="18" customHeight="1" x14ac:dyDescent="0.2">
      <c r="GE3710"/>
      <c r="GF3710"/>
      <c r="GG3710"/>
      <c r="GH3710"/>
    </row>
    <row r="3711" spans="187:190" s="1" customFormat="1" ht="18" customHeight="1" x14ac:dyDescent="0.2">
      <c r="GE3711"/>
      <c r="GF3711"/>
      <c r="GG3711"/>
      <c r="GH3711"/>
    </row>
    <row r="3712" spans="187:190" s="1" customFormat="1" ht="18" customHeight="1" x14ac:dyDescent="0.2">
      <c r="GE3712"/>
      <c r="GF3712"/>
      <c r="GG3712"/>
      <c r="GH3712"/>
    </row>
    <row r="3713" spans="187:190" s="1" customFormat="1" ht="18" customHeight="1" x14ac:dyDescent="0.2">
      <c r="GE3713"/>
      <c r="GF3713"/>
      <c r="GG3713"/>
      <c r="GH3713"/>
    </row>
    <row r="3714" spans="187:190" s="1" customFormat="1" ht="18" customHeight="1" x14ac:dyDescent="0.2">
      <c r="GE3714"/>
      <c r="GF3714"/>
      <c r="GG3714"/>
      <c r="GH3714"/>
    </row>
    <row r="3715" spans="187:190" s="1" customFormat="1" ht="18" customHeight="1" x14ac:dyDescent="0.2">
      <c r="GE3715"/>
      <c r="GF3715"/>
      <c r="GG3715"/>
      <c r="GH3715"/>
    </row>
    <row r="3716" spans="187:190" s="1" customFormat="1" ht="18" customHeight="1" x14ac:dyDescent="0.2">
      <c r="GE3716"/>
      <c r="GF3716"/>
      <c r="GG3716"/>
      <c r="GH3716"/>
    </row>
    <row r="3717" spans="187:190" s="1" customFormat="1" ht="18" customHeight="1" x14ac:dyDescent="0.2">
      <c r="GE3717"/>
      <c r="GF3717"/>
      <c r="GG3717"/>
      <c r="GH3717"/>
    </row>
    <row r="3718" spans="187:190" s="1" customFormat="1" ht="18" customHeight="1" x14ac:dyDescent="0.2">
      <c r="GE3718"/>
      <c r="GF3718"/>
      <c r="GG3718"/>
      <c r="GH3718"/>
    </row>
    <row r="3719" spans="187:190" s="1" customFormat="1" ht="18" customHeight="1" x14ac:dyDescent="0.2">
      <c r="GE3719"/>
      <c r="GF3719"/>
      <c r="GG3719"/>
      <c r="GH3719"/>
    </row>
    <row r="3720" spans="187:190" s="1" customFormat="1" ht="18" customHeight="1" x14ac:dyDescent="0.2">
      <c r="GE3720"/>
      <c r="GF3720"/>
      <c r="GG3720"/>
      <c r="GH3720"/>
    </row>
    <row r="3721" spans="187:190" s="1" customFormat="1" ht="18" customHeight="1" x14ac:dyDescent="0.2">
      <c r="GE3721"/>
      <c r="GF3721"/>
      <c r="GG3721"/>
      <c r="GH3721"/>
    </row>
    <row r="3722" spans="187:190" s="1" customFormat="1" ht="18" customHeight="1" x14ac:dyDescent="0.2">
      <c r="GE3722"/>
      <c r="GF3722"/>
      <c r="GG3722"/>
      <c r="GH3722"/>
    </row>
    <row r="3723" spans="187:190" s="1" customFormat="1" ht="18" customHeight="1" x14ac:dyDescent="0.2">
      <c r="GE3723"/>
      <c r="GF3723"/>
      <c r="GG3723"/>
      <c r="GH3723"/>
    </row>
    <row r="3724" spans="187:190" s="1" customFormat="1" ht="18" customHeight="1" x14ac:dyDescent="0.2">
      <c r="GE3724"/>
      <c r="GF3724"/>
      <c r="GG3724"/>
      <c r="GH3724"/>
    </row>
    <row r="3725" spans="187:190" s="1" customFormat="1" ht="18" customHeight="1" x14ac:dyDescent="0.2">
      <c r="GE3725"/>
      <c r="GF3725"/>
      <c r="GG3725"/>
      <c r="GH3725"/>
    </row>
    <row r="3726" spans="187:190" s="1" customFormat="1" ht="18" customHeight="1" x14ac:dyDescent="0.2">
      <c r="GE3726"/>
      <c r="GF3726"/>
      <c r="GG3726"/>
      <c r="GH3726"/>
    </row>
    <row r="3727" spans="187:190" s="1" customFormat="1" ht="18" customHeight="1" x14ac:dyDescent="0.2">
      <c r="GE3727"/>
      <c r="GF3727"/>
      <c r="GG3727"/>
      <c r="GH3727"/>
    </row>
    <row r="3728" spans="187:190" s="1" customFormat="1" ht="18" customHeight="1" x14ac:dyDescent="0.2">
      <c r="GE3728"/>
      <c r="GF3728"/>
      <c r="GG3728"/>
      <c r="GH3728"/>
    </row>
    <row r="3729" spans="187:190" s="1" customFormat="1" ht="18" customHeight="1" x14ac:dyDescent="0.2">
      <c r="GE3729"/>
      <c r="GF3729"/>
      <c r="GG3729"/>
      <c r="GH3729"/>
    </row>
    <row r="3730" spans="187:190" s="1" customFormat="1" ht="18" customHeight="1" x14ac:dyDescent="0.2">
      <c r="GE3730"/>
      <c r="GF3730"/>
      <c r="GG3730"/>
      <c r="GH3730"/>
    </row>
    <row r="3731" spans="187:190" s="1" customFormat="1" ht="18" customHeight="1" x14ac:dyDescent="0.2">
      <c r="GE3731"/>
      <c r="GF3731"/>
      <c r="GG3731"/>
      <c r="GH3731"/>
    </row>
    <row r="3732" spans="187:190" s="1" customFormat="1" ht="18" customHeight="1" x14ac:dyDescent="0.2">
      <c r="GE3732"/>
      <c r="GF3732"/>
      <c r="GG3732"/>
      <c r="GH3732"/>
    </row>
    <row r="3733" spans="187:190" s="1" customFormat="1" ht="18" customHeight="1" x14ac:dyDescent="0.2">
      <c r="GE3733"/>
      <c r="GF3733"/>
      <c r="GG3733"/>
      <c r="GH3733"/>
    </row>
    <row r="3734" spans="187:190" s="1" customFormat="1" ht="18" customHeight="1" x14ac:dyDescent="0.2">
      <c r="GE3734"/>
      <c r="GF3734"/>
      <c r="GG3734"/>
      <c r="GH3734"/>
    </row>
    <row r="3735" spans="187:190" s="1" customFormat="1" ht="18" customHeight="1" x14ac:dyDescent="0.2">
      <c r="GE3735"/>
      <c r="GF3735"/>
      <c r="GG3735"/>
      <c r="GH3735"/>
    </row>
    <row r="3736" spans="187:190" s="1" customFormat="1" ht="18" customHeight="1" x14ac:dyDescent="0.2">
      <c r="GE3736"/>
      <c r="GF3736"/>
      <c r="GG3736"/>
      <c r="GH3736"/>
    </row>
    <row r="3737" spans="187:190" s="1" customFormat="1" ht="18" customHeight="1" x14ac:dyDescent="0.2">
      <c r="GE3737"/>
      <c r="GF3737"/>
      <c r="GG3737"/>
      <c r="GH3737"/>
    </row>
    <row r="3738" spans="187:190" s="1" customFormat="1" ht="18" customHeight="1" x14ac:dyDescent="0.2">
      <c r="GE3738"/>
      <c r="GF3738"/>
      <c r="GG3738"/>
      <c r="GH3738"/>
    </row>
    <row r="3739" spans="187:190" s="1" customFormat="1" ht="18" customHeight="1" x14ac:dyDescent="0.2">
      <c r="GE3739"/>
      <c r="GF3739"/>
      <c r="GG3739"/>
      <c r="GH3739"/>
    </row>
    <row r="3740" spans="187:190" s="1" customFormat="1" ht="18" customHeight="1" x14ac:dyDescent="0.2">
      <c r="GE3740"/>
      <c r="GF3740"/>
      <c r="GG3740"/>
      <c r="GH3740"/>
    </row>
    <row r="3741" spans="187:190" s="1" customFormat="1" ht="18" customHeight="1" x14ac:dyDescent="0.2">
      <c r="GE3741"/>
      <c r="GF3741"/>
      <c r="GG3741"/>
      <c r="GH3741"/>
    </row>
    <row r="3742" spans="187:190" s="1" customFormat="1" ht="18" customHeight="1" x14ac:dyDescent="0.2">
      <c r="GE3742"/>
      <c r="GF3742"/>
      <c r="GG3742"/>
      <c r="GH3742"/>
    </row>
    <row r="3743" spans="187:190" s="1" customFormat="1" ht="18" customHeight="1" x14ac:dyDescent="0.2">
      <c r="GE3743"/>
      <c r="GF3743"/>
      <c r="GG3743"/>
      <c r="GH3743"/>
    </row>
    <row r="3744" spans="187:190" s="1" customFormat="1" ht="18" customHeight="1" x14ac:dyDescent="0.2">
      <c r="GE3744"/>
      <c r="GF3744"/>
      <c r="GG3744"/>
      <c r="GH3744"/>
    </row>
    <row r="3745" spans="187:190" s="1" customFormat="1" ht="18" customHeight="1" x14ac:dyDescent="0.2">
      <c r="GE3745"/>
      <c r="GF3745"/>
      <c r="GG3745"/>
      <c r="GH3745"/>
    </row>
    <row r="3746" spans="187:190" s="1" customFormat="1" ht="18" customHeight="1" x14ac:dyDescent="0.2">
      <c r="GE3746"/>
      <c r="GF3746"/>
      <c r="GG3746"/>
      <c r="GH3746"/>
    </row>
    <row r="3747" spans="187:190" s="1" customFormat="1" ht="18" customHeight="1" x14ac:dyDescent="0.2">
      <c r="GE3747"/>
      <c r="GF3747"/>
      <c r="GG3747"/>
      <c r="GH3747"/>
    </row>
    <row r="3748" spans="187:190" s="1" customFormat="1" ht="18" customHeight="1" x14ac:dyDescent="0.2">
      <c r="GE3748"/>
      <c r="GF3748"/>
      <c r="GG3748"/>
      <c r="GH3748"/>
    </row>
    <row r="3749" spans="187:190" s="1" customFormat="1" ht="18" customHeight="1" x14ac:dyDescent="0.2">
      <c r="GE3749"/>
      <c r="GF3749"/>
      <c r="GG3749"/>
      <c r="GH3749"/>
    </row>
    <row r="3750" spans="187:190" s="1" customFormat="1" ht="18" customHeight="1" x14ac:dyDescent="0.2">
      <c r="GE3750"/>
      <c r="GF3750"/>
      <c r="GG3750"/>
      <c r="GH3750"/>
    </row>
    <row r="3751" spans="187:190" s="1" customFormat="1" ht="18" customHeight="1" x14ac:dyDescent="0.2">
      <c r="GE3751"/>
      <c r="GF3751"/>
      <c r="GG3751"/>
      <c r="GH3751"/>
    </row>
    <row r="3752" spans="187:190" s="1" customFormat="1" ht="18" customHeight="1" x14ac:dyDescent="0.2">
      <c r="GE3752"/>
      <c r="GF3752"/>
      <c r="GG3752"/>
      <c r="GH3752"/>
    </row>
    <row r="3753" spans="187:190" s="1" customFormat="1" ht="18" customHeight="1" x14ac:dyDescent="0.2">
      <c r="GE3753"/>
      <c r="GF3753"/>
      <c r="GG3753"/>
      <c r="GH3753"/>
    </row>
    <row r="3754" spans="187:190" s="1" customFormat="1" ht="18" customHeight="1" x14ac:dyDescent="0.2">
      <c r="GE3754"/>
      <c r="GF3754"/>
      <c r="GG3754"/>
      <c r="GH3754"/>
    </row>
    <row r="3755" spans="187:190" s="1" customFormat="1" ht="18" customHeight="1" x14ac:dyDescent="0.2">
      <c r="GE3755"/>
      <c r="GF3755"/>
      <c r="GG3755"/>
      <c r="GH3755"/>
    </row>
    <row r="3756" spans="187:190" s="1" customFormat="1" ht="18" customHeight="1" x14ac:dyDescent="0.2">
      <c r="GE3756"/>
      <c r="GF3756"/>
      <c r="GG3756"/>
      <c r="GH3756"/>
    </row>
    <row r="3757" spans="187:190" s="1" customFormat="1" ht="18" customHeight="1" x14ac:dyDescent="0.2">
      <c r="GE3757"/>
      <c r="GF3757"/>
      <c r="GG3757"/>
      <c r="GH3757"/>
    </row>
    <row r="3758" spans="187:190" s="1" customFormat="1" ht="18" customHeight="1" x14ac:dyDescent="0.2">
      <c r="GE3758"/>
      <c r="GF3758"/>
      <c r="GG3758"/>
      <c r="GH3758"/>
    </row>
    <row r="3759" spans="187:190" s="1" customFormat="1" ht="18" customHeight="1" x14ac:dyDescent="0.2">
      <c r="GE3759"/>
      <c r="GF3759"/>
      <c r="GG3759"/>
      <c r="GH3759"/>
    </row>
    <row r="3760" spans="187:190" s="1" customFormat="1" ht="18" customHeight="1" x14ac:dyDescent="0.2">
      <c r="GE3760"/>
      <c r="GF3760"/>
      <c r="GG3760"/>
      <c r="GH3760"/>
    </row>
    <row r="3761" spans="187:190" s="1" customFormat="1" ht="18" customHeight="1" x14ac:dyDescent="0.2">
      <c r="GE3761"/>
      <c r="GF3761"/>
      <c r="GG3761"/>
      <c r="GH3761"/>
    </row>
    <row r="3762" spans="187:190" s="1" customFormat="1" ht="18" customHeight="1" x14ac:dyDescent="0.2">
      <c r="GE3762"/>
      <c r="GF3762"/>
      <c r="GG3762"/>
      <c r="GH3762"/>
    </row>
    <row r="3763" spans="187:190" s="1" customFormat="1" ht="18" customHeight="1" x14ac:dyDescent="0.2">
      <c r="GE3763"/>
      <c r="GF3763"/>
      <c r="GG3763"/>
      <c r="GH3763"/>
    </row>
    <row r="3764" spans="187:190" s="1" customFormat="1" ht="18" customHeight="1" x14ac:dyDescent="0.2">
      <c r="GE3764"/>
      <c r="GF3764"/>
      <c r="GG3764"/>
      <c r="GH3764"/>
    </row>
    <row r="3765" spans="187:190" s="1" customFormat="1" ht="18" customHeight="1" x14ac:dyDescent="0.2">
      <c r="GE3765"/>
      <c r="GF3765"/>
      <c r="GG3765"/>
      <c r="GH3765"/>
    </row>
    <row r="3766" spans="187:190" s="1" customFormat="1" ht="18" customHeight="1" x14ac:dyDescent="0.2">
      <c r="GE3766"/>
      <c r="GF3766"/>
      <c r="GG3766"/>
      <c r="GH3766"/>
    </row>
    <row r="3767" spans="187:190" s="1" customFormat="1" ht="18" customHeight="1" x14ac:dyDescent="0.2">
      <c r="GE3767"/>
      <c r="GF3767"/>
      <c r="GG3767"/>
      <c r="GH3767"/>
    </row>
    <row r="3768" spans="187:190" s="1" customFormat="1" ht="18" customHeight="1" x14ac:dyDescent="0.2">
      <c r="GE3768"/>
      <c r="GF3768"/>
      <c r="GG3768"/>
      <c r="GH3768"/>
    </row>
    <row r="3769" spans="187:190" s="1" customFormat="1" ht="18" customHeight="1" x14ac:dyDescent="0.2">
      <c r="GE3769"/>
      <c r="GF3769"/>
      <c r="GG3769"/>
      <c r="GH3769"/>
    </row>
    <row r="3770" spans="187:190" s="1" customFormat="1" ht="18" customHeight="1" x14ac:dyDescent="0.2">
      <c r="GE3770"/>
      <c r="GF3770"/>
      <c r="GG3770"/>
      <c r="GH3770"/>
    </row>
    <row r="3771" spans="187:190" s="1" customFormat="1" ht="18" customHeight="1" x14ac:dyDescent="0.2">
      <c r="GE3771"/>
      <c r="GF3771"/>
      <c r="GG3771"/>
      <c r="GH3771"/>
    </row>
    <row r="3772" spans="187:190" s="1" customFormat="1" ht="18" customHeight="1" x14ac:dyDescent="0.2">
      <c r="GE3772"/>
      <c r="GF3772"/>
      <c r="GG3772"/>
      <c r="GH3772"/>
    </row>
    <row r="3773" spans="187:190" s="1" customFormat="1" ht="18" customHeight="1" x14ac:dyDescent="0.2">
      <c r="GE3773"/>
      <c r="GF3773"/>
      <c r="GG3773"/>
      <c r="GH3773"/>
    </row>
    <row r="3774" spans="187:190" s="1" customFormat="1" ht="18" customHeight="1" x14ac:dyDescent="0.2">
      <c r="GE3774"/>
      <c r="GF3774"/>
      <c r="GG3774"/>
      <c r="GH3774"/>
    </row>
    <row r="3775" spans="187:190" s="1" customFormat="1" ht="18" customHeight="1" x14ac:dyDescent="0.2">
      <c r="GE3775"/>
      <c r="GF3775"/>
      <c r="GG3775"/>
      <c r="GH3775"/>
    </row>
    <row r="3776" spans="187:190" s="1" customFormat="1" ht="18" customHeight="1" x14ac:dyDescent="0.2">
      <c r="GE3776"/>
      <c r="GF3776"/>
      <c r="GG3776"/>
      <c r="GH3776"/>
    </row>
    <row r="3777" spans="187:190" s="1" customFormat="1" ht="18" customHeight="1" x14ac:dyDescent="0.2">
      <c r="GE3777"/>
      <c r="GF3777"/>
      <c r="GG3777"/>
      <c r="GH3777"/>
    </row>
    <row r="3778" spans="187:190" s="1" customFormat="1" ht="18" customHeight="1" x14ac:dyDescent="0.2">
      <c r="GE3778"/>
      <c r="GF3778"/>
      <c r="GG3778"/>
      <c r="GH3778"/>
    </row>
    <row r="3779" spans="187:190" s="1" customFormat="1" ht="18" customHeight="1" x14ac:dyDescent="0.2">
      <c r="GE3779"/>
      <c r="GF3779"/>
      <c r="GG3779"/>
      <c r="GH3779"/>
    </row>
    <row r="3780" spans="187:190" s="1" customFormat="1" ht="18" customHeight="1" x14ac:dyDescent="0.2">
      <c r="GE3780"/>
      <c r="GF3780"/>
      <c r="GG3780"/>
      <c r="GH3780"/>
    </row>
    <row r="3781" spans="187:190" s="1" customFormat="1" ht="18" customHeight="1" x14ac:dyDescent="0.2">
      <c r="GE3781"/>
      <c r="GF3781"/>
      <c r="GG3781"/>
      <c r="GH3781"/>
    </row>
    <row r="3782" spans="187:190" s="1" customFormat="1" ht="18" customHeight="1" x14ac:dyDescent="0.2">
      <c r="GE3782"/>
      <c r="GF3782"/>
      <c r="GG3782"/>
      <c r="GH3782"/>
    </row>
    <row r="3783" spans="187:190" s="1" customFormat="1" ht="18" customHeight="1" x14ac:dyDescent="0.2">
      <c r="GE3783"/>
      <c r="GF3783"/>
      <c r="GG3783"/>
      <c r="GH3783"/>
    </row>
    <row r="3784" spans="187:190" s="1" customFormat="1" ht="18" customHeight="1" x14ac:dyDescent="0.2">
      <c r="GE3784"/>
      <c r="GF3784"/>
      <c r="GG3784"/>
      <c r="GH3784"/>
    </row>
    <row r="3785" spans="187:190" s="1" customFormat="1" ht="18" customHeight="1" x14ac:dyDescent="0.2">
      <c r="GE3785"/>
      <c r="GF3785"/>
      <c r="GG3785"/>
      <c r="GH3785"/>
    </row>
    <row r="3786" spans="187:190" s="1" customFormat="1" ht="18" customHeight="1" x14ac:dyDescent="0.2">
      <c r="GE3786"/>
      <c r="GF3786"/>
      <c r="GG3786"/>
      <c r="GH3786"/>
    </row>
    <row r="3787" spans="187:190" s="1" customFormat="1" ht="18" customHeight="1" x14ac:dyDescent="0.2">
      <c r="GE3787"/>
      <c r="GF3787"/>
      <c r="GG3787"/>
      <c r="GH3787"/>
    </row>
    <row r="3788" spans="187:190" s="1" customFormat="1" ht="18" customHeight="1" x14ac:dyDescent="0.2">
      <c r="GE3788"/>
      <c r="GF3788"/>
      <c r="GG3788"/>
      <c r="GH3788"/>
    </row>
    <row r="3789" spans="187:190" s="1" customFormat="1" ht="18" customHeight="1" x14ac:dyDescent="0.2">
      <c r="GE3789"/>
      <c r="GF3789"/>
      <c r="GG3789"/>
      <c r="GH3789"/>
    </row>
    <row r="3790" spans="187:190" s="1" customFormat="1" ht="18" customHeight="1" x14ac:dyDescent="0.2">
      <c r="GE3790"/>
      <c r="GF3790"/>
      <c r="GG3790"/>
      <c r="GH3790"/>
    </row>
    <row r="3791" spans="187:190" s="1" customFormat="1" ht="18" customHeight="1" x14ac:dyDescent="0.2">
      <c r="GE3791"/>
      <c r="GF3791"/>
      <c r="GG3791"/>
      <c r="GH3791"/>
    </row>
    <row r="3792" spans="187:190" s="1" customFormat="1" ht="18" customHeight="1" x14ac:dyDescent="0.2">
      <c r="GE3792"/>
      <c r="GF3792"/>
      <c r="GG3792"/>
      <c r="GH3792"/>
    </row>
    <row r="3793" spans="187:190" s="1" customFormat="1" ht="18" customHeight="1" x14ac:dyDescent="0.2">
      <c r="GE3793"/>
      <c r="GF3793"/>
      <c r="GG3793"/>
      <c r="GH3793"/>
    </row>
    <row r="3794" spans="187:190" s="1" customFormat="1" ht="18" customHeight="1" x14ac:dyDescent="0.2">
      <c r="GE3794"/>
      <c r="GF3794"/>
      <c r="GG3794"/>
      <c r="GH3794"/>
    </row>
    <row r="3795" spans="187:190" s="1" customFormat="1" ht="18" customHeight="1" x14ac:dyDescent="0.2">
      <c r="GE3795"/>
      <c r="GF3795"/>
      <c r="GG3795"/>
      <c r="GH3795"/>
    </row>
    <row r="3796" spans="187:190" s="1" customFormat="1" ht="18" customHeight="1" x14ac:dyDescent="0.2">
      <c r="GE3796"/>
      <c r="GF3796"/>
      <c r="GG3796"/>
      <c r="GH3796"/>
    </row>
    <row r="3797" spans="187:190" s="1" customFormat="1" ht="18" customHeight="1" x14ac:dyDescent="0.2">
      <c r="GE3797"/>
      <c r="GF3797"/>
      <c r="GG3797"/>
      <c r="GH3797"/>
    </row>
    <row r="3798" spans="187:190" s="1" customFormat="1" ht="18" customHeight="1" x14ac:dyDescent="0.2">
      <c r="GE3798"/>
      <c r="GF3798"/>
      <c r="GG3798"/>
      <c r="GH3798"/>
    </row>
    <row r="3799" spans="187:190" s="1" customFormat="1" ht="18" customHeight="1" x14ac:dyDescent="0.2">
      <c r="GE3799"/>
      <c r="GF3799"/>
      <c r="GG3799"/>
      <c r="GH3799"/>
    </row>
    <row r="3800" spans="187:190" s="1" customFormat="1" ht="18" customHeight="1" x14ac:dyDescent="0.2">
      <c r="GE3800"/>
      <c r="GF3800"/>
      <c r="GG3800"/>
      <c r="GH3800"/>
    </row>
    <row r="3801" spans="187:190" s="1" customFormat="1" ht="18" customHeight="1" x14ac:dyDescent="0.2">
      <c r="GE3801"/>
      <c r="GF3801"/>
      <c r="GG3801"/>
      <c r="GH3801"/>
    </row>
    <row r="3802" spans="187:190" s="1" customFormat="1" ht="18" customHeight="1" x14ac:dyDescent="0.2">
      <c r="GE3802"/>
      <c r="GF3802"/>
      <c r="GG3802"/>
      <c r="GH3802"/>
    </row>
    <row r="3803" spans="187:190" s="1" customFormat="1" ht="18" customHeight="1" x14ac:dyDescent="0.2">
      <c r="GE3803"/>
      <c r="GF3803"/>
      <c r="GG3803"/>
      <c r="GH3803"/>
    </row>
    <row r="3804" spans="187:190" s="1" customFormat="1" ht="18" customHeight="1" x14ac:dyDescent="0.2">
      <c r="GE3804"/>
      <c r="GF3804"/>
      <c r="GG3804"/>
      <c r="GH3804"/>
    </row>
    <row r="3805" spans="187:190" s="1" customFormat="1" ht="18" customHeight="1" x14ac:dyDescent="0.2">
      <c r="GE3805"/>
      <c r="GF3805"/>
      <c r="GG3805"/>
      <c r="GH3805"/>
    </row>
    <row r="3806" spans="187:190" s="1" customFormat="1" ht="18" customHeight="1" x14ac:dyDescent="0.2">
      <c r="GE3806"/>
      <c r="GF3806"/>
      <c r="GG3806"/>
      <c r="GH3806"/>
    </row>
    <row r="3807" spans="187:190" s="1" customFormat="1" ht="18" customHeight="1" x14ac:dyDescent="0.2">
      <c r="GE3807"/>
      <c r="GF3807"/>
      <c r="GG3807"/>
      <c r="GH3807"/>
    </row>
    <row r="3808" spans="187:190" s="1" customFormat="1" ht="18" customHeight="1" x14ac:dyDescent="0.2">
      <c r="GE3808"/>
      <c r="GF3808"/>
      <c r="GG3808"/>
      <c r="GH3808"/>
    </row>
    <row r="3809" spans="187:190" s="1" customFormat="1" ht="18" customHeight="1" x14ac:dyDescent="0.2">
      <c r="GE3809"/>
      <c r="GF3809"/>
      <c r="GG3809"/>
      <c r="GH3809"/>
    </row>
    <row r="3810" spans="187:190" s="1" customFormat="1" ht="18" customHeight="1" x14ac:dyDescent="0.2">
      <c r="GE3810"/>
      <c r="GF3810"/>
      <c r="GG3810"/>
      <c r="GH3810"/>
    </row>
    <row r="3811" spans="187:190" s="1" customFormat="1" ht="18" customHeight="1" x14ac:dyDescent="0.2">
      <c r="GE3811"/>
      <c r="GF3811"/>
      <c r="GG3811"/>
      <c r="GH3811"/>
    </row>
    <row r="3812" spans="187:190" s="1" customFormat="1" ht="18" customHeight="1" x14ac:dyDescent="0.2">
      <c r="GE3812"/>
      <c r="GF3812"/>
      <c r="GG3812"/>
      <c r="GH3812"/>
    </row>
    <row r="3813" spans="187:190" s="1" customFormat="1" ht="18" customHeight="1" x14ac:dyDescent="0.2">
      <c r="GE3813"/>
      <c r="GF3813"/>
      <c r="GG3813"/>
      <c r="GH3813"/>
    </row>
    <row r="3814" spans="187:190" s="1" customFormat="1" ht="18" customHeight="1" x14ac:dyDescent="0.2">
      <c r="GE3814"/>
      <c r="GF3814"/>
      <c r="GG3814"/>
      <c r="GH3814"/>
    </row>
    <row r="3815" spans="187:190" s="1" customFormat="1" ht="18" customHeight="1" x14ac:dyDescent="0.2">
      <c r="GE3815"/>
      <c r="GF3815"/>
      <c r="GG3815"/>
      <c r="GH3815"/>
    </row>
    <row r="3816" spans="187:190" s="1" customFormat="1" ht="18" customHeight="1" x14ac:dyDescent="0.2">
      <c r="GE3816"/>
      <c r="GF3816"/>
      <c r="GG3816"/>
      <c r="GH3816"/>
    </row>
    <row r="3817" spans="187:190" s="1" customFormat="1" ht="18" customHeight="1" x14ac:dyDescent="0.2">
      <c r="GE3817"/>
      <c r="GF3817"/>
      <c r="GG3817"/>
      <c r="GH3817"/>
    </row>
    <row r="3818" spans="187:190" s="1" customFormat="1" ht="18" customHeight="1" x14ac:dyDescent="0.2">
      <c r="GE3818"/>
      <c r="GF3818"/>
      <c r="GG3818"/>
      <c r="GH3818"/>
    </row>
    <row r="3819" spans="187:190" s="1" customFormat="1" ht="18" customHeight="1" x14ac:dyDescent="0.2">
      <c r="GE3819"/>
      <c r="GF3819"/>
      <c r="GG3819"/>
      <c r="GH3819"/>
    </row>
    <row r="3820" spans="187:190" s="1" customFormat="1" ht="18" customHeight="1" x14ac:dyDescent="0.2">
      <c r="GE3820"/>
      <c r="GF3820"/>
      <c r="GG3820"/>
      <c r="GH3820"/>
    </row>
    <row r="3821" spans="187:190" s="1" customFormat="1" ht="18" customHeight="1" x14ac:dyDescent="0.2">
      <c r="GE3821"/>
      <c r="GF3821"/>
      <c r="GG3821"/>
      <c r="GH3821"/>
    </row>
    <row r="3822" spans="187:190" s="1" customFormat="1" ht="18" customHeight="1" x14ac:dyDescent="0.2">
      <c r="GE3822"/>
      <c r="GF3822"/>
      <c r="GG3822"/>
      <c r="GH3822"/>
    </row>
    <row r="3823" spans="187:190" s="1" customFormat="1" ht="18" customHeight="1" x14ac:dyDescent="0.2">
      <c r="GE3823"/>
      <c r="GF3823"/>
      <c r="GG3823"/>
      <c r="GH3823"/>
    </row>
    <row r="3824" spans="187:190" s="1" customFormat="1" ht="18" customHeight="1" x14ac:dyDescent="0.2">
      <c r="GE3824"/>
      <c r="GF3824"/>
      <c r="GG3824"/>
      <c r="GH3824"/>
    </row>
    <row r="3825" spans="187:190" s="1" customFormat="1" ht="18" customHeight="1" x14ac:dyDescent="0.2">
      <c r="GE3825"/>
      <c r="GF3825"/>
      <c r="GG3825"/>
      <c r="GH3825"/>
    </row>
    <row r="3826" spans="187:190" s="1" customFormat="1" ht="18" customHeight="1" x14ac:dyDescent="0.2">
      <c r="GE3826"/>
      <c r="GF3826"/>
      <c r="GG3826"/>
      <c r="GH3826"/>
    </row>
    <row r="3827" spans="187:190" s="1" customFormat="1" ht="18" customHeight="1" x14ac:dyDescent="0.2">
      <c r="GE3827"/>
      <c r="GF3827"/>
      <c r="GG3827"/>
      <c r="GH3827"/>
    </row>
    <row r="3828" spans="187:190" s="1" customFormat="1" ht="18" customHeight="1" x14ac:dyDescent="0.2">
      <c r="GE3828"/>
      <c r="GF3828"/>
      <c r="GG3828"/>
      <c r="GH3828"/>
    </row>
    <row r="3829" spans="187:190" s="1" customFormat="1" ht="18" customHeight="1" x14ac:dyDescent="0.2">
      <c r="GE3829"/>
      <c r="GF3829"/>
      <c r="GG3829"/>
      <c r="GH3829"/>
    </row>
    <row r="3830" spans="187:190" s="1" customFormat="1" ht="18" customHeight="1" x14ac:dyDescent="0.2">
      <c r="GE3830"/>
      <c r="GF3830"/>
      <c r="GG3830"/>
      <c r="GH3830"/>
    </row>
    <row r="3831" spans="187:190" s="1" customFormat="1" ht="18" customHeight="1" x14ac:dyDescent="0.2">
      <c r="GE3831"/>
      <c r="GF3831"/>
      <c r="GG3831"/>
      <c r="GH3831"/>
    </row>
    <row r="3832" spans="187:190" s="1" customFormat="1" ht="18" customHeight="1" x14ac:dyDescent="0.2">
      <c r="GE3832"/>
      <c r="GF3832"/>
      <c r="GG3832"/>
      <c r="GH3832"/>
    </row>
    <row r="3833" spans="187:190" s="1" customFormat="1" ht="18" customHeight="1" x14ac:dyDescent="0.2">
      <c r="GE3833"/>
      <c r="GF3833"/>
      <c r="GG3833"/>
      <c r="GH3833"/>
    </row>
    <row r="3834" spans="187:190" s="1" customFormat="1" ht="18" customHeight="1" x14ac:dyDescent="0.2">
      <c r="GE3834"/>
      <c r="GF3834"/>
      <c r="GG3834"/>
      <c r="GH3834"/>
    </row>
    <row r="3835" spans="187:190" s="1" customFormat="1" ht="18" customHeight="1" x14ac:dyDescent="0.2">
      <c r="GE3835"/>
      <c r="GF3835"/>
      <c r="GG3835"/>
      <c r="GH3835"/>
    </row>
    <row r="3836" spans="187:190" s="1" customFormat="1" ht="18" customHeight="1" x14ac:dyDescent="0.2">
      <c r="GE3836"/>
      <c r="GF3836"/>
      <c r="GG3836"/>
      <c r="GH3836"/>
    </row>
    <row r="3837" spans="187:190" s="1" customFormat="1" ht="18" customHeight="1" x14ac:dyDescent="0.2">
      <c r="GE3837"/>
      <c r="GF3837"/>
      <c r="GG3837"/>
      <c r="GH3837"/>
    </row>
    <row r="3838" spans="187:190" s="1" customFormat="1" ht="18" customHeight="1" x14ac:dyDescent="0.2">
      <c r="GE3838"/>
      <c r="GF3838"/>
      <c r="GG3838"/>
      <c r="GH3838"/>
    </row>
    <row r="3839" spans="187:190" s="1" customFormat="1" ht="18" customHeight="1" x14ac:dyDescent="0.2">
      <c r="GE3839"/>
      <c r="GF3839"/>
      <c r="GG3839"/>
      <c r="GH3839"/>
    </row>
    <row r="3840" spans="187:190" s="1" customFormat="1" ht="18" customHeight="1" x14ac:dyDescent="0.2">
      <c r="GE3840"/>
      <c r="GF3840"/>
      <c r="GG3840"/>
      <c r="GH3840"/>
    </row>
    <row r="3841" spans="187:190" s="1" customFormat="1" ht="18" customHeight="1" x14ac:dyDescent="0.2">
      <c r="GE3841"/>
      <c r="GF3841"/>
      <c r="GG3841"/>
      <c r="GH3841"/>
    </row>
    <row r="3842" spans="187:190" s="1" customFormat="1" ht="18" customHeight="1" x14ac:dyDescent="0.2">
      <c r="GE3842"/>
      <c r="GF3842"/>
      <c r="GG3842"/>
      <c r="GH3842"/>
    </row>
    <row r="3843" spans="187:190" s="1" customFormat="1" ht="18" customHeight="1" x14ac:dyDescent="0.2">
      <c r="GE3843"/>
      <c r="GF3843"/>
      <c r="GG3843"/>
      <c r="GH3843"/>
    </row>
    <row r="3844" spans="187:190" s="1" customFormat="1" ht="18" customHeight="1" x14ac:dyDescent="0.2">
      <c r="GE3844"/>
      <c r="GF3844"/>
      <c r="GG3844"/>
      <c r="GH3844"/>
    </row>
    <row r="3845" spans="187:190" s="1" customFormat="1" ht="18" customHeight="1" x14ac:dyDescent="0.2">
      <c r="GE3845"/>
      <c r="GF3845"/>
      <c r="GG3845"/>
      <c r="GH3845"/>
    </row>
    <row r="3846" spans="187:190" s="1" customFormat="1" ht="18" customHeight="1" x14ac:dyDescent="0.2">
      <c r="GE3846"/>
      <c r="GF3846"/>
      <c r="GG3846"/>
      <c r="GH3846"/>
    </row>
    <row r="3847" spans="187:190" s="1" customFormat="1" ht="18" customHeight="1" x14ac:dyDescent="0.2">
      <c r="GE3847"/>
      <c r="GF3847"/>
      <c r="GG3847"/>
      <c r="GH3847"/>
    </row>
    <row r="3848" spans="187:190" s="1" customFormat="1" ht="18" customHeight="1" x14ac:dyDescent="0.2">
      <c r="GE3848"/>
      <c r="GF3848"/>
      <c r="GG3848"/>
      <c r="GH3848"/>
    </row>
    <row r="3849" spans="187:190" s="1" customFormat="1" ht="18" customHeight="1" x14ac:dyDescent="0.2">
      <c r="GE3849"/>
      <c r="GF3849"/>
      <c r="GG3849"/>
      <c r="GH3849"/>
    </row>
    <row r="3850" spans="187:190" s="1" customFormat="1" ht="18" customHeight="1" x14ac:dyDescent="0.2">
      <c r="GE3850"/>
      <c r="GF3850"/>
      <c r="GG3850"/>
      <c r="GH3850"/>
    </row>
    <row r="3851" spans="187:190" s="1" customFormat="1" ht="18" customHeight="1" x14ac:dyDescent="0.2">
      <c r="GE3851"/>
      <c r="GF3851"/>
      <c r="GG3851"/>
      <c r="GH3851"/>
    </row>
    <row r="3852" spans="187:190" s="1" customFormat="1" ht="18" customHeight="1" x14ac:dyDescent="0.2">
      <c r="GE3852"/>
      <c r="GF3852"/>
      <c r="GG3852"/>
      <c r="GH3852"/>
    </row>
    <row r="3853" spans="187:190" s="1" customFormat="1" ht="18" customHeight="1" x14ac:dyDescent="0.2">
      <c r="GE3853"/>
      <c r="GF3853"/>
      <c r="GG3853"/>
      <c r="GH3853"/>
    </row>
    <row r="3854" spans="187:190" s="1" customFormat="1" ht="18" customHeight="1" x14ac:dyDescent="0.2">
      <c r="GE3854"/>
      <c r="GF3854"/>
      <c r="GG3854"/>
      <c r="GH3854"/>
    </row>
    <row r="3855" spans="187:190" s="1" customFormat="1" ht="18" customHeight="1" x14ac:dyDescent="0.2">
      <c r="GE3855"/>
      <c r="GF3855"/>
      <c r="GG3855"/>
      <c r="GH3855"/>
    </row>
    <row r="3856" spans="187:190" s="1" customFormat="1" ht="18" customHeight="1" x14ac:dyDescent="0.2">
      <c r="GE3856"/>
      <c r="GF3856"/>
      <c r="GG3856"/>
      <c r="GH3856"/>
    </row>
    <row r="3857" spans="187:190" s="1" customFormat="1" ht="18" customHeight="1" x14ac:dyDescent="0.2">
      <c r="GE3857"/>
      <c r="GF3857"/>
      <c r="GG3857"/>
      <c r="GH3857"/>
    </row>
    <row r="3858" spans="187:190" s="1" customFormat="1" ht="18" customHeight="1" x14ac:dyDescent="0.2">
      <c r="GE3858"/>
      <c r="GF3858"/>
      <c r="GG3858"/>
      <c r="GH3858"/>
    </row>
    <row r="3859" spans="187:190" s="1" customFormat="1" ht="18" customHeight="1" x14ac:dyDescent="0.2">
      <c r="GE3859"/>
      <c r="GF3859"/>
      <c r="GG3859"/>
      <c r="GH3859"/>
    </row>
    <row r="3860" spans="187:190" s="1" customFormat="1" ht="18" customHeight="1" x14ac:dyDescent="0.2">
      <c r="GE3860"/>
      <c r="GF3860"/>
      <c r="GG3860"/>
      <c r="GH3860"/>
    </row>
    <row r="3861" spans="187:190" s="1" customFormat="1" ht="18" customHeight="1" x14ac:dyDescent="0.2">
      <c r="GE3861"/>
      <c r="GF3861"/>
      <c r="GG3861"/>
      <c r="GH3861"/>
    </row>
    <row r="3862" spans="187:190" s="1" customFormat="1" ht="18" customHeight="1" x14ac:dyDescent="0.2">
      <c r="GE3862"/>
      <c r="GF3862"/>
      <c r="GG3862"/>
      <c r="GH3862"/>
    </row>
    <row r="3863" spans="187:190" s="1" customFormat="1" ht="18" customHeight="1" x14ac:dyDescent="0.2">
      <c r="GE3863"/>
      <c r="GF3863"/>
      <c r="GG3863"/>
      <c r="GH3863"/>
    </row>
    <row r="3864" spans="187:190" s="1" customFormat="1" ht="18" customHeight="1" x14ac:dyDescent="0.2">
      <c r="GE3864"/>
      <c r="GF3864"/>
      <c r="GG3864"/>
      <c r="GH3864"/>
    </row>
    <row r="3865" spans="187:190" s="1" customFormat="1" ht="18" customHeight="1" x14ac:dyDescent="0.2">
      <c r="GE3865"/>
      <c r="GF3865"/>
      <c r="GG3865"/>
      <c r="GH3865"/>
    </row>
    <row r="3866" spans="187:190" s="1" customFormat="1" ht="18" customHeight="1" x14ac:dyDescent="0.2">
      <c r="GE3866"/>
      <c r="GF3866"/>
      <c r="GG3866"/>
      <c r="GH3866"/>
    </row>
    <row r="3867" spans="187:190" s="1" customFormat="1" ht="18" customHeight="1" x14ac:dyDescent="0.2">
      <c r="GE3867"/>
      <c r="GF3867"/>
      <c r="GG3867"/>
      <c r="GH3867"/>
    </row>
    <row r="3868" spans="187:190" s="1" customFormat="1" ht="18" customHeight="1" x14ac:dyDescent="0.2">
      <c r="GE3868"/>
      <c r="GF3868"/>
      <c r="GG3868"/>
      <c r="GH3868"/>
    </row>
    <row r="3869" spans="187:190" s="1" customFormat="1" ht="18" customHeight="1" x14ac:dyDescent="0.2">
      <c r="GE3869"/>
      <c r="GF3869"/>
      <c r="GG3869"/>
      <c r="GH3869"/>
    </row>
    <row r="3870" spans="187:190" s="1" customFormat="1" ht="18" customHeight="1" x14ac:dyDescent="0.2">
      <c r="GE3870"/>
      <c r="GF3870"/>
      <c r="GG3870"/>
      <c r="GH3870"/>
    </row>
    <row r="3871" spans="187:190" s="1" customFormat="1" ht="18" customHeight="1" x14ac:dyDescent="0.2">
      <c r="GE3871"/>
      <c r="GF3871"/>
      <c r="GG3871"/>
      <c r="GH3871"/>
    </row>
    <row r="3872" spans="187:190" s="1" customFormat="1" ht="18" customHeight="1" x14ac:dyDescent="0.2">
      <c r="GE3872"/>
      <c r="GF3872"/>
      <c r="GG3872"/>
      <c r="GH3872"/>
    </row>
    <row r="3873" spans="187:190" s="1" customFormat="1" ht="18" customHeight="1" x14ac:dyDescent="0.2">
      <c r="GE3873"/>
      <c r="GF3873"/>
      <c r="GG3873"/>
      <c r="GH3873"/>
    </row>
    <row r="3874" spans="187:190" s="1" customFormat="1" ht="18" customHeight="1" x14ac:dyDescent="0.2">
      <c r="GE3874"/>
      <c r="GF3874"/>
      <c r="GG3874"/>
      <c r="GH3874"/>
    </row>
    <row r="3875" spans="187:190" s="1" customFormat="1" ht="18" customHeight="1" x14ac:dyDescent="0.2">
      <c r="GE3875"/>
      <c r="GF3875"/>
      <c r="GG3875"/>
      <c r="GH3875"/>
    </row>
    <row r="3876" spans="187:190" s="1" customFormat="1" ht="18" customHeight="1" x14ac:dyDescent="0.2">
      <c r="GE3876"/>
      <c r="GF3876"/>
      <c r="GG3876"/>
      <c r="GH3876"/>
    </row>
    <row r="3877" spans="187:190" s="1" customFormat="1" ht="18" customHeight="1" x14ac:dyDescent="0.2">
      <c r="GE3877"/>
      <c r="GF3877"/>
      <c r="GG3877"/>
      <c r="GH3877"/>
    </row>
    <row r="3878" spans="187:190" s="1" customFormat="1" ht="18" customHeight="1" x14ac:dyDescent="0.2">
      <c r="GE3878"/>
      <c r="GF3878"/>
      <c r="GG3878"/>
      <c r="GH3878"/>
    </row>
    <row r="3879" spans="187:190" s="1" customFormat="1" ht="18" customHeight="1" x14ac:dyDescent="0.2">
      <c r="GE3879"/>
      <c r="GF3879"/>
      <c r="GG3879"/>
      <c r="GH3879"/>
    </row>
    <row r="3880" spans="187:190" s="1" customFormat="1" ht="18" customHeight="1" x14ac:dyDescent="0.2">
      <c r="GE3880"/>
      <c r="GF3880"/>
      <c r="GG3880"/>
      <c r="GH3880"/>
    </row>
    <row r="3881" spans="187:190" s="1" customFormat="1" ht="18" customHeight="1" x14ac:dyDescent="0.2">
      <c r="GE3881"/>
      <c r="GF3881"/>
      <c r="GG3881"/>
      <c r="GH3881"/>
    </row>
    <row r="3882" spans="187:190" s="1" customFormat="1" ht="18" customHeight="1" x14ac:dyDescent="0.2">
      <c r="GE3882"/>
      <c r="GF3882"/>
      <c r="GG3882"/>
      <c r="GH3882"/>
    </row>
    <row r="3883" spans="187:190" s="1" customFormat="1" ht="18" customHeight="1" x14ac:dyDescent="0.2">
      <c r="GE3883"/>
      <c r="GF3883"/>
      <c r="GG3883"/>
      <c r="GH3883"/>
    </row>
    <row r="3884" spans="187:190" s="1" customFormat="1" ht="18" customHeight="1" x14ac:dyDescent="0.2">
      <c r="GE3884"/>
      <c r="GF3884"/>
      <c r="GG3884"/>
      <c r="GH3884"/>
    </row>
    <row r="3885" spans="187:190" s="1" customFormat="1" ht="18" customHeight="1" x14ac:dyDescent="0.2">
      <c r="GE3885"/>
      <c r="GF3885"/>
      <c r="GG3885"/>
      <c r="GH3885"/>
    </row>
    <row r="3886" spans="187:190" s="1" customFormat="1" ht="18" customHeight="1" x14ac:dyDescent="0.2">
      <c r="GE3886"/>
      <c r="GF3886"/>
      <c r="GG3886"/>
      <c r="GH3886"/>
    </row>
    <row r="3887" spans="187:190" s="1" customFormat="1" ht="18" customHeight="1" x14ac:dyDescent="0.2">
      <c r="GE3887"/>
      <c r="GF3887"/>
      <c r="GG3887"/>
      <c r="GH3887"/>
    </row>
    <row r="3888" spans="187:190" s="1" customFormat="1" ht="18" customHeight="1" x14ac:dyDescent="0.2">
      <c r="GE3888"/>
      <c r="GF3888"/>
      <c r="GG3888"/>
      <c r="GH3888"/>
    </row>
    <row r="3889" spans="187:190" s="1" customFormat="1" ht="18" customHeight="1" x14ac:dyDescent="0.2">
      <c r="GE3889"/>
      <c r="GF3889"/>
      <c r="GG3889"/>
      <c r="GH3889"/>
    </row>
    <row r="3890" spans="187:190" s="1" customFormat="1" ht="18" customHeight="1" x14ac:dyDescent="0.2">
      <c r="GE3890"/>
      <c r="GF3890"/>
      <c r="GG3890"/>
      <c r="GH3890"/>
    </row>
    <row r="3891" spans="187:190" s="1" customFormat="1" ht="18" customHeight="1" x14ac:dyDescent="0.2">
      <c r="GE3891"/>
      <c r="GF3891"/>
      <c r="GG3891"/>
      <c r="GH3891"/>
    </row>
    <row r="3892" spans="187:190" s="1" customFormat="1" ht="18" customHeight="1" x14ac:dyDescent="0.2">
      <c r="GE3892"/>
      <c r="GF3892"/>
      <c r="GG3892"/>
      <c r="GH3892"/>
    </row>
    <row r="3893" spans="187:190" s="1" customFormat="1" ht="18" customHeight="1" x14ac:dyDescent="0.2">
      <c r="GE3893"/>
      <c r="GF3893"/>
      <c r="GG3893"/>
      <c r="GH3893"/>
    </row>
    <row r="3894" spans="187:190" s="1" customFormat="1" ht="18" customHeight="1" x14ac:dyDescent="0.2">
      <c r="GE3894"/>
      <c r="GF3894"/>
      <c r="GG3894"/>
      <c r="GH3894"/>
    </row>
    <row r="3895" spans="187:190" s="1" customFormat="1" ht="18" customHeight="1" x14ac:dyDescent="0.2">
      <c r="GE3895"/>
      <c r="GF3895"/>
      <c r="GG3895"/>
      <c r="GH3895"/>
    </row>
    <row r="3896" spans="187:190" s="1" customFormat="1" ht="18" customHeight="1" x14ac:dyDescent="0.2">
      <c r="GE3896"/>
      <c r="GF3896"/>
      <c r="GG3896"/>
      <c r="GH3896"/>
    </row>
    <row r="3897" spans="187:190" s="1" customFormat="1" ht="18" customHeight="1" x14ac:dyDescent="0.2">
      <c r="GE3897"/>
      <c r="GF3897"/>
      <c r="GG3897"/>
      <c r="GH3897"/>
    </row>
    <row r="3898" spans="187:190" s="1" customFormat="1" ht="18" customHeight="1" x14ac:dyDescent="0.2">
      <c r="GE3898"/>
      <c r="GF3898"/>
      <c r="GG3898"/>
      <c r="GH3898"/>
    </row>
    <row r="3899" spans="187:190" s="1" customFormat="1" ht="18" customHeight="1" x14ac:dyDescent="0.2">
      <c r="GE3899"/>
      <c r="GF3899"/>
      <c r="GG3899"/>
      <c r="GH3899"/>
    </row>
    <row r="3900" spans="187:190" s="1" customFormat="1" ht="18" customHeight="1" x14ac:dyDescent="0.2">
      <c r="GE3900"/>
      <c r="GF3900"/>
      <c r="GG3900"/>
      <c r="GH3900"/>
    </row>
    <row r="3901" spans="187:190" s="1" customFormat="1" ht="18" customHeight="1" x14ac:dyDescent="0.2">
      <c r="GE3901"/>
      <c r="GF3901"/>
      <c r="GG3901"/>
      <c r="GH3901"/>
    </row>
    <row r="3902" spans="187:190" s="1" customFormat="1" ht="18" customHeight="1" x14ac:dyDescent="0.2">
      <c r="GE3902"/>
      <c r="GF3902"/>
      <c r="GG3902"/>
      <c r="GH3902"/>
    </row>
    <row r="3903" spans="187:190" s="1" customFormat="1" ht="18" customHeight="1" x14ac:dyDescent="0.2">
      <c r="GE3903"/>
      <c r="GF3903"/>
      <c r="GG3903"/>
      <c r="GH3903"/>
    </row>
    <row r="3904" spans="187:190" s="1" customFormat="1" ht="18" customHeight="1" x14ac:dyDescent="0.2">
      <c r="GE3904"/>
      <c r="GF3904"/>
      <c r="GG3904"/>
      <c r="GH3904"/>
    </row>
    <row r="3905" spans="187:190" s="1" customFormat="1" ht="18" customHeight="1" x14ac:dyDescent="0.2">
      <c r="GE3905"/>
      <c r="GF3905"/>
      <c r="GG3905"/>
      <c r="GH3905"/>
    </row>
    <row r="3906" spans="187:190" s="1" customFormat="1" ht="18" customHeight="1" x14ac:dyDescent="0.2">
      <c r="GE3906"/>
      <c r="GF3906"/>
      <c r="GG3906"/>
      <c r="GH3906"/>
    </row>
    <row r="3907" spans="187:190" s="1" customFormat="1" ht="18" customHeight="1" x14ac:dyDescent="0.2">
      <c r="GE3907"/>
      <c r="GF3907"/>
      <c r="GG3907"/>
      <c r="GH3907"/>
    </row>
    <row r="3908" spans="187:190" s="1" customFormat="1" ht="18" customHeight="1" x14ac:dyDescent="0.2">
      <c r="GE3908"/>
      <c r="GF3908"/>
      <c r="GG3908"/>
      <c r="GH3908"/>
    </row>
    <row r="3909" spans="187:190" s="1" customFormat="1" ht="18" customHeight="1" x14ac:dyDescent="0.2">
      <c r="GE3909"/>
      <c r="GF3909"/>
      <c r="GG3909"/>
      <c r="GH3909"/>
    </row>
    <row r="3910" spans="187:190" s="1" customFormat="1" ht="18" customHeight="1" x14ac:dyDescent="0.2">
      <c r="GE3910"/>
      <c r="GF3910"/>
      <c r="GG3910"/>
      <c r="GH3910"/>
    </row>
    <row r="3911" spans="187:190" s="1" customFormat="1" ht="18" customHeight="1" x14ac:dyDescent="0.2">
      <c r="GE3911"/>
      <c r="GF3911"/>
      <c r="GG3911"/>
      <c r="GH3911"/>
    </row>
    <row r="3912" spans="187:190" s="1" customFormat="1" ht="18" customHeight="1" x14ac:dyDescent="0.2">
      <c r="GE3912"/>
      <c r="GF3912"/>
      <c r="GG3912"/>
      <c r="GH3912"/>
    </row>
    <row r="3913" spans="187:190" s="1" customFormat="1" ht="18" customHeight="1" x14ac:dyDescent="0.2">
      <c r="GE3913"/>
      <c r="GF3913"/>
      <c r="GG3913"/>
      <c r="GH3913"/>
    </row>
    <row r="3914" spans="187:190" s="1" customFormat="1" ht="18" customHeight="1" x14ac:dyDescent="0.2">
      <c r="GE3914"/>
      <c r="GF3914"/>
      <c r="GG3914"/>
      <c r="GH3914"/>
    </row>
    <row r="3915" spans="187:190" s="1" customFormat="1" ht="18" customHeight="1" x14ac:dyDescent="0.2">
      <c r="GE3915"/>
      <c r="GF3915"/>
      <c r="GG3915"/>
      <c r="GH3915"/>
    </row>
    <row r="3916" spans="187:190" s="1" customFormat="1" ht="18" customHeight="1" x14ac:dyDescent="0.2">
      <c r="GE3916"/>
      <c r="GF3916"/>
      <c r="GG3916"/>
      <c r="GH3916"/>
    </row>
    <row r="3917" spans="187:190" s="1" customFormat="1" ht="18" customHeight="1" x14ac:dyDescent="0.2">
      <c r="GE3917"/>
      <c r="GF3917"/>
      <c r="GG3917"/>
      <c r="GH3917"/>
    </row>
    <row r="3918" spans="187:190" s="1" customFormat="1" ht="18" customHeight="1" x14ac:dyDescent="0.2">
      <c r="GE3918"/>
      <c r="GF3918"/>
      <c r="GG3918"/>
      <c r="GH3918"/>
    </row>
    <row r="3919" spans="187:190" s="1" customFormat="1" ht="18" customHeight="1" x14ac:dyDescent="0.2">
      <c r="GE3919"/>
      <c r="GF3919"/>
      <c r="GG3919"/>
      <c r="GH3919"/>
    </row>
    <row r="3920" spans="187:190" s="1" customFormat="1" ht="18" customHeight="1" x14ac:dyDescent="0.2">
      <c r="GE3920"/>
      <c r="GF3920"/>
      <c r="GG3920"/>
      <c r="GH3920"/>
    </row>
    <row r="3921" spans="187:190" s="1" customFormat="1" ht="18" customHeight="1" x14ac:dyDescent="0.2">
      <c r="GE3921"/>
      <c r="GF3921"/>
      <c r="GG3921"/>
      <c r="GH3921"/>
    </row>
    <row r="3922" spans="187:190" s="1" customFormat="1" ht="18" customHeight="1" x14ac:dyDescent="0.2">
      <c r="GE3922"/>
      <c r="GF3922"/>
      <c r="GG3922"/>
      <c r="GH3922"/>
    </row>
    <row r="3923" spans="187:190" s="1" customFormat="1" ht="18" customHeight="1" x14ac:dyDescent="0.2">
      <c r="GE3923"/>
      <c r="GF3923"/>
      <c r="GG3923"/>
      <c r="GH3923"/>
    </row>
    <row r="3924" spans="187:190" s="1" customFormat="1" ht="18" customHeight="1" x14ac:dyDescent="0.2">
      <c r="GE3924"/>
      <c r="GF3924"/>
      <c r="GG3924"/>
      <c r="GH3924"/>
    </row>
    <row r="3925" spans="187:190" s="1" customFormat="1" ht="18" customHeight="1" x14ac:dyDescent="0.2">
      <c r="GE3925"/>
      <c r="GF3925"/>
      <c r="GG3925"/>
      <c r="GH3925"/>
    </row>
    <row r="3926" spans="187:190" s="1" customFormat="1" ht="18" customHeight="1" x14ac:dyDescent="0.2">
      <c r="GE3926"/>
      <c r="GF3926"/>
      <c r="GG3926"/>
      <c r="GH3926"/>
    </row>
    <row r="3927" spans="187:190" s="1" customFormat="1" ht="18" customHeight="1" x14ac:dyDescent="0.2">
      <c r="GE3927"/>
      <c r="GF3927"/>
      <c r="GG3927"/>
      <c r="GH3927"/>
    </row>
    <row r="3928" spans="187:190" s="1" customFormat="1" ht="18" customHeight="1" x14ac:dyDescent="0.2">
      <c r="GE3928"/>
      <c r="GF3928"/>
      <c r="GG3928"/>
      <c r="GH3928"/>
    </row>
    <row r="3929" spans="187:190" s="1" customFormat="1" ht="18" customHeight="1" x14ac:dyDescent="0.2">
      <c r="GE3929"/>
      <c r="GF3929"/>
      <c r="GG3929"/>
      <c r="GH3929"/>
    </row>
    <row r="3930" spans="187:190" s="1" customFormat="1" ht="18" customHeight="1" x14ac:dyDescent="0.2">
      <c r="GE3930"/>
      <c r="GF3930"/>
      <c r="GG3930"/>
      <c r="GH3930"/>
    </row>
    <row r="3931" spans="187:190" s="1" customFormat="1" ht="18" customHeight="1" x14ac:dyDescent="0.2">
      <c r="GE3931"/>
      <c r="GF3931"/>
      <c r="GG3931"/>
      <c r="GH3931"/>
    </row>
    <row r="3932" spans="187:190" s="1" customFormat="1" ht="18" customHeight="1" x14ac:dyDescent="0.2">
      <c r="GE3932"/>
      <c r="GF3932"/>
      <c r="GG3932"/>
      <c r="GH3932"/>
    </row>
    <row r="3933" spans="187:190" s="1" customFormat="1" ht="18" customHeight="1" x14ac:dyDescent="0.2">
      <c r="GE3933"/>
      <c r="GF3933"/>
      <c r="GG3933"/>
      <c r="GH3933"/>
    </row>
    <row r="3934" spans="187:190" s="1" customFormat="1" ht="18" customHeight="1" x14ac:dyDescent="0.2">
      <c r="GE3934"/>
      <c r="GF3934"/>
      <c r="GG3934"/>
      <c r="GH3934"/>
    </row>
    <row r="3935" spans="187:190" s="1" customFormat="1" ht="18" customHeight="1" x14ac:dyDescent="0.2">
      <c r="GE3935"/>
      <c r="GF3935"/>
      <c r="GG3935"/>
      <c r="GH3935"/>
    </row>
    <row r="3936" spans="187:190" s="1" customFormat="1" ht="18" customHeight="1" x14ac:dyDescent="0.2">
      <c r="GE3936"/>
      <c r="GF3936"/>
      <c r="GG3936"/>
      <c r="GH3936"/>
    </row>
    <row r="3937" spans="187:190" s="1" customFormat="1" ht="18" customHeight="1" x14ac:dyDescent="0.2">
      <c r="GE3937"/>
      <c r="GF3937"/>
      <c r="GG3937"/>
      <c r="GH3937"/>
    </row>
    <row r="3938" spans="187:190" s="1" customFormat="1" ht="18" customHeight="1" x14ac:dyDescent="0.2">
      <c r="GE3938"/>
      <c r="GF3938"/>
      <c r="GG3938"/>
      <c r="GH3938"/>
    </row>
    <row r="3939" spans="187:190" s="1" customFormat="1" ht="18" customHeight="1" x14ac:dyDescent="0.2">
      <c r="GE3939"/>
      <c r="GF3939"/>
      <c r="GG3939"/>
      <c r="GH3939"/>
    </row>
    <row r="3940" spans="187:190" s="1" customFormat="1" ht="18" customHeight="1" x14ac:dyDescent="0.2">
      <c r="GE3940"/>
      <c r="GF3940"/>
      <c r="GG3940"/>
      <c r="GH3940"/>
    </row>
    <row r="3941" spans="187:190" s="1" customFormat="1" ht="18" customHeight="1" x14ac:dyDescent="0.2">
      <c r="GE3941"/>
      <c r="GF3941"/>
      <c r="GG3941"/>
      <c r="GH3941"/>
    </row>
    <row r="3942" spans="187:190" s="1" customFormat="1" ht="18" customHeight="1" x14ac:dyDescent="0.2">
      <c r="GE3942"/>
      <c r="GF3942"/>
      <c r="GG3942"/>
      <c r="GH3942"/>
    </row>
    <row r="3943" spans="187:190" s="1" customFormat="1" ht="18" customHeight="1" x14ac:dyDescent="0.2">
      <c r="GE3943"/>
      <c r="GF3943"/>
      <c r="GG3943"/>
      <c r="GH3943"/>
    </row>
    <row r="3944" spans="187:190" s="1" customFormat="1" ht="18" customHeight="1" x14ac:dyDescent="0.2">
      <c r="GE3944"/>
      <c r="GF3944"/>
      <c r="GG3944"/>
      <c r="GH3944"/>
    </row>
    <row r="3945" spans="187:190" s="1" customFormat="1" ht="18" customHeight="1" x14ac:dyDescent="0.2">
      <c r="GE3945"/>
      <c r="GF3945"/>
      <c r="GG3945"/>
      <c r="GH3945"/>
    </row>
    <row r="3946" spans="187:190" s="1" customFormat="1" ht="18" customHeight="1" x14ac:dyDescent="0.2">
      <c r="GE3946"/>
      <c r="GF3946"/>
      <c r="GG3946"/>
      <c r="GH3946"/>
    </row>
    <row r="3947" spans="187:190" s="1" customFormat="1" ht="18" customHeight="1" x14ac:dyDescent="0.2">
      <c r="GE3947"/>
      <c r="GF3947"/>
      <c r="GG3947"/>
      <c r="GH3947"/>
    </row>
    <row r="3948" spans="187:190" s="1" customFormat="1" ht="18" customHeight="1" x14ac:dyDescent="0.2">
      <c r="GE3948"/>
      <c r="GF3948"/>
      <c r="GG3948"/>
      <c r="GH3948"/>
    </row>
    <row r="3949" spans="187:190" s="1" customFormat="1" ht="18" customHeight="1" x14ac:dyDescent="0.2">
      <c r="GE3949"/>
      <c r="GF3949"/>
      <c r="GG3949"/>
      <c r="GH3949"/>
    </row>
    <row r="3950" spans="187:190" s="1" customFormat="1" ht="18" customHeight="1" x14ac:dyDescent="0.2">
      <c r="GE3950"/>
      <c r="GF3950"/>
      <c r="GG3950"/>
      <c r="GH3950"/>
    </row>
    <row r="3951" spans="187:190" s="1" customFormat="1" ht="18" customHeight="1" x14ac:dyDescent="0.2">
      <c r="GE3951"/>
      <c r="GF3951"/>
      <c r="GG3951"/>
      <c r="GH3951"/>
    </row>
    <row r="3952" spans="187:190" s="1" customFormat="1" ht="18" customHeight="1" x14ac:dyDescent="0.2">
      <c r="GE3952"/>
      <c r="GF3952"/>
      <c r="GG3952"/>
      <c r="GH3952"/>
    </row>
    <row r="3953" spans="187:190" s="1" customFormat="1" ht="18" customHeight="1" x14ac:dyDescent="0.2">
      <c r="GE3953"/>
      <c r="GF3953"/>
      <c r="GG3953"/>
      <c r="GH3953"/>
    </row>
    <row r="3954" spans="187:190" s="1" customFormat="1" ht="18" customHeight="1" x14ac:dyDescent="0.2">
      <c r="GE3954"/>
      <c r="GF3954"/>
      <c r="GG3954"/>
      <c r="GH3954"/>
    </row>
    <row r="3955" spans="187:190" s="1" customFormat="1" ht="18" customHeight="1" x14ac:dyDescent="0.2">
      <c r="GE3955"/>
      <c r="GF3955"/>
      <c r="GG3955"/>
      <c r="GH3955"/>
    </row>
    <row r="3956" spans="187:190" s="1" customFormat="1" ht="18" customHeight="1" x14ac:dyDescent="0.2">
      <c r="GE3956"/>
      <c r="GF3956"/>
      <c r="GG3956"/>
      <c r="GH3956"/>
    </row>
    <row r="3957" spans="187:190" s="1" customFormat="1" ht="18" customHeight="1" x14ac:dyDescent="0.2">
      <c r="GE3957"/>
      <c r="GF3957"/>
      <c r="GG3957"/>
      <c r="GH3957"/>
    </row>
    <row r="3958" spans="187:190" s="1" customFormat="1" ht="18" customHeight="1" x14ac:dyDescent="0.2">
      <c r="GE3958"/>
      <c r="GF3958"/>
      <c r="GG3958"/>
      <c r="GH3958"/>
    </row>
    <row r="3959" spans="187:190" s="1" customFormat="1" ht="18" customHeight="1" x14ac:dyDescent="0.2">
      <c r="GE3959"/>
      <c r="GF3959"/>
      <c r="GG3959"/>
      <c r="GH3959"/>
    </row>
    <row r="3960" spans="187:190" s="1" customFormat="1" ht="18" customHeight="1" x14ac:dyDescent="0.2">
      <c r="GE3960"/>
      <c r="GF3960"/>
      <c r="GG3960"/>
      <c r="GH3960"/>
    </row>
    <row r="3961" spans="187:190" s="1" customFormat="1" ht="18" customHeight="1" x14ac:dyDescent="0.2">
      <c r="GE3961"/>
      <c r="GF3961"/>
      <c r="GG3961"/>
      <c r="GH3961"/>
    </row>
    <row r="3962" spans="187:190" s="1" customFormat="1" ht="18" customHeight="1" x14ac:dyDescent="0.2">
      <c r="GE3962"/>
      <c r="GF3962"/>
      <c r="GG3962"/>
      <c r="GH3962"/>
    </row>
    <row r="3963" spans="187:190" s="1" customFormat="1" ht="18" customHeight="1" x14ac:dyDescent="0.2">
      <c r="GE3963"/>
      <c r="GF3963"/>
      <c r="GG3963"/>
      <c r="GH3963"/>
    </row>
    <row r="3964" spans="187:190" s="1" customFormat="1" ht="18" customHeight="1" x14ac:dyDescent="0.2">
      <c r="GE3964"/>
      <c r="GF3964"/>
      <c r="GG3964"/>
      <c r="GH3964"/>
    </row>
    <row r="3965" spans="187:190" s="1" customFormat="1" ht="18" customHeight="1" x14ac:dyDescent="0.2">
      <c r="GE3965"/>
      <c r="GF3965"/>
      <c r="GG3965"/>
      <c r="GH3965"/>
    </row>
    <row r="3966" spans="187:190" s="1" customFormat="1" ht="18" customHeight="1" x14ac:dyDescent="0.2">
      <c r="GE3966"/>
      <c r="GF3966"/>
      <c r="GG3966"/>
      <c r="GH3966"/>
    </row>
    <row r="3967" spans="187:190" s="1" customFormat="1" ht="18" customHeight="1" x14ac:dyDescent="0.2">
      <c r="GE3967"/>
      <c r="GF3967"/>
      <c r="GG3967"/>
      <c r="GH3967"/>
    </row>
    <row r="3968" spans="187:190" s="1" customFormat="1" ht="18" customHeight="1" x14ac:dyDescent="0.2">
      <c r="GE3968"/>
      <c r="GF3968"/>
      <c r="GG3968"/>
      <c r="GH3968"/>
    </row>
    <row r="3969" spans="187:190" s="1" customFormat="1" ht="18" customHeight="1" x14ac:dyDescent="0.2">
      <c r="GE3969"/>
      <c r="GF3969"/>
      <c r="GG3969"/>
      <c r="GH3969"/>
    </row>
    <row r="3970" spans="187:190" s="1" customFormat="1" ht="18" customHeight="1" x14ac:dyDescent="0.2">
      <c r="GE3970"/>
      <c r="GF3970"/>
      <c r="GG3970"/>
      <c r="GH3970"/>
    </row>
    <row r="3971" spans="187:190" s="1" customFormat="1" ht="18" customHeight="1" x14ac:dyDescent="0.2">
      <c r="GE3971"/>
      <c r="GF3971"/>
      <c r="GG3971"/>
      <c r="GH3971"/>
    </row>
    <row r="3972" spans="187:190" s="1" customFormat="1" ht="18" customHeight="1" x14ac:dyDescent="0.2">
      <c r="GE3972"/>
      <c r="GF3972"/>
      <c r="GG3972"/>
      <c r="GH3972"/>
    </row>
    <row r="3973" spans="187:190" s="1" customFormat="1" ht="18" customHeight="1" x14ac:dyDescent="0.2">
      <c r="GE3973"/>
      <c r="GF3973"/>
      <c r="GG3973"/>
      <c r="GH3973"/>
    </row>
    <row r="3974" spans="187:190" s="1" customFormat="1" ht="18" customHeight="1" x14ac:dyDescent="0.2">
      <c r="GE3974"/>
      <c r="GF3974"/>
      <c r="GG3974"/>
      <c r="GH3974"/>
    </row>
    <row r="3975" spans="187:190" s="1" customFormat="1" ht="18" customHeight="1" x14ac:dyDescent="0.2">
      <c r="GE3975"/>
      <c r="GF3975"/>
      <c r="GG3975"/>
      <c r="GH3975"/>
    </row>
    <row r="3976" spans="187:190" s="1" customFormat="1" ht="18" customHeight="1" x14ac:dyDescent="0.2">
      <c r="GE3976"/>
      <c r="GF3976"/>
      <c r="GG3976"/>
      <c r="GH3976"/>
    </row>
    <row r="3977" spans="187:190" s="1" customFormat="1" ht="18" customHeight="1" x14ac:dyDescent="0.2">
      <c r="GE3977"/>
      <c r="GF3977"/>
      <c r="GG3977"/>
      <c r="GH3977"/>
    </row>
    <row r="3978" spans="187:190" s="1" customFormat="1" ht="18" customHeight="1" x14ac:dyDescent="0.2">
      <c r="GE3978"/>
      <c r="GF3978"/>
      <c r="GG3978"/>
      <c r="GH3978"/>
    </row>
    <row r="3979" spans="187:190" s="1" customFormat="1" ht="18" customHeight="1" x14ac:dyDescent="0.2">
      <c r="GE3979"/>
      <c r="GF3979"/>
      <c r="GG3979"/>
      <c r="GH3979"/>
    </row>
    <row r="3980" spans="187:190" s="1" customFormat="1" ht="18" customHeight="1" x14ac:dyDescent="0.2">
      <c r="GE3980"/>
      <c r="GF3980"/>
      <c r="GG3980"/>
      <c r="GH3980"/>
    </row>
    <row r="3981" spans="187:190" s="1" customFormat="1" ht="18" customHeight="1" x14ac:dyDescent="0.2">
      <c r="GE3981"/>
      <c r="GF3981"/>
      <c r="GG3981"/>
      <c r="GH3981"/>
    </row>
    <row r="3982" spans="187:190" s="1" customFormat="1" ht="18" customHeight="1" x14ac:dyDescent="0.2">
      <c r="GE3982"/>
      <c r="GF3982"/>
      <c r="GG3982"/>
      <c r="GH3982"/>
    </row>
    <row r="3983" spans="187:190" s="1" customFormat="1" ht="18" customHeight="1" x14ac:dyDescent="0.2">
      <c r="GE3983"/>
      <c r="GF3983"/>
      <c r="GG3983"/>
      <c r="GH3983"/>
    </row>
    <row r="3984" spans="187:190" s="1" customFormat="1" ht="18" customHeight="1" x14ac:dyDescent="0.2">
      <c r="GE3984"/>
      <c r="GF3984"/>
      <c r="GG3984"/>
      <c r="GH3984"/>
    </row>
    <row r="3985" spans="187:190" s="1" customFormat="1" ht="18" customHeight="1" x14ac:dyDescent="0.2">
      <c r="GE3985"/>
      <c r="GF3985"/>
      <c r="GG3985"/>
      <c r="GH3985"/>
    </row>
    <row r="3986" spans="187:190" s="1" customFormat="1" ht="18" customHeight="1" x14ac:dyDescent="0.2">
      <c r="GE3986"/>
      <c r="GF3986"/>
      <c r="GG3986"/>
      <c r="GH3986"/>
    </row>
    <row r="3987" spans="187:190" s="1" customFormat="1" ht="18" customHeight="1" x14ac:dyDescent="0.2">
      <c r="GE3987"/>
      <c r="GF3987"/>
      <c r="GG3987"/>
      <c r="GH3987"/>
    </row>
    <row r="3988" spans="187:190" s="1" customFormat="1" ht="18" customHeight="1" x14ac:dyDescent="0.2">
      <c r="GE3988"/>
      <c r="GF3988"/>
      <c r="GG3988"/>
      <c r="GH3988"/>
    </row>
    <row r="3989" spans="187:190" s="1" customFormat="1" ht="18" customHeight="1" x14ac:dyDescent="0.2">
      <c r="GE3989"/>
      <c r="GF3989"/>
      <c r="GG3989"/>
      <c r="GH3989"/>
    </row>
    <row r="3990" spans="187:190" s="1" customFormat="1" ht="18" customHeight="1" x14ac:dyDescent="0.2">
      <c r="GE3990"/>
      <c r="GF3990"/>
      <c r="GG3990"/>
      <c r="GH3990"/>
    </row>
    <row r="3991" spans="187:190" s="1" customFormat="1" ht="18" customHeight="1" x14ac:dyDescent="0.2">
      <c r="GE3991"/>
      <c r="GF3991"/>
      <c r="GG3991"/>
      <c r="GH3991"/>
    </row>
    <row r="3992" spans="187:190" s="1" customFormat="1" ht="18" customHeight="1" x14ac:dyDescent="0.2">
      <c r="GE3992"/>
      <c r="GF3992"/>
      <c r="GG3992"/>
      <c r="GH3992"/>
    </row>
    <row r="3993" spans="187:190" s="1" customFormat="1" ht="18" customHeight="1" x14ac:dyDescent="0.2">
      <c r="GE3993"/>
      <c r="GF3993"/>
      <c r="GG3993"/>
      <c r="GH3993"/>
    </row>
    <row r="3994" spans="187:190" s="1" customFormat="1" ht="18" customHeight="1" x14ac:dyDescent="0.2">
      <c r="GE3994"/>
      <c r="GF3994"/>
      <c r="GG3994"/>
      <c r="GH3994"/>
    </row>
    <row r="3995" spans="187:190" s="1" customFormat="1" ht="18" customHeight="1" x14ac:dyDescent="0.2">
      <c r="GE3995"/>
      <c r="GF3995"/>
      <c r="GG3995"/>
      <c r="GH3995"/>
    </row>
    <row r="3996" spans="187:190" s="1" customFormat="1" ht="18" customHeight="1" x14ac:dyDescent="0.2">
      <c r="GE3996"/>
      <c r="GF3996"/>
      <c r="GG3996"/>
      <c r="GH3996"/>
    </row>
    <row r="3997" spans="187:190" s="1" customFormat="1" ht="18" customHeight="1" x14ac:dyDescent="0.2">
      <c r="GE3997"/>
      <c r="GF3997"/>
      <c r="GG3997"/>
      <c r="GH3997"/>
    </row>
    <row r="3998" spans="187:190" s="1" customFormat="1" ht="18" customHeight="1" x14ac:dyDescent="0.2">
      <c r="GE3998"/>
      <c r="GF3998"/>
      <c r="GG3998"/>
      <c r="GH3998"/>
    </row>
    <row r="3999" spans="187:190" s="1" customFormat="1" ht="18" customHeight="1" x14ac:dyDescent="0.2">
      <c r="GE3999"/>
      <c r="GF3999"/>
      <c r="GG3999"/>
      <c r="GH3999"/>
    </row>
    <row r="4000" spans="187:190" s="1" customFormat="1" ht="18" customHeight="1" x14ac:dyDescent="0.2">
      <c r="GE4000"/>
      <c r="GF4000"/>
      <c r="GG4000"/>
      <c r="GH4000"/>
    </row>
    <row r="4001" spans="187:190" s="1" customFormat="1" ht="18" customHeight="1" x14ac:dyDescent="0.2">
      <c r="GE4001"/>
      <c r="GF4001"/>
      <c r="GG4001"/>
      <c r="GH4001"/>
    </row>
    <row r="4002" spans="187:190" s="1" customFormat="1" ht="18" customHeight="1" x14ac:dyDescent="0.2">
      <c r="GE4002"/>
      <c r="GF4002"/>
      <c r="GG4002"/>
      <c r="GH4002"/>
    </row>
    <row r="4003" spans="187:190" s="1" customFormat="1" ht="18" customHeight="1" x14ac:dyDescent="0.2">
      <c r="GE4003"/>
      <c r="GF4003"/>
      <c r="GG4003"/>
      <c r="GH4003"/>
    </row>
    <row r="4004" spans="187:190" s="1" customFormat="1" ht="18" customHeight="1" x14ac:dyDescent="0.2">
      <c r="GE4004"/>
      <c r="GF4004"/>
      <c r="GG4004"/>
      <c r="GH4004"/>
    </row>
    <row r="4005" spans="187:190" s="1" customFormat="1" ht="18" customHeight="1" x14ac:dyDescent="0.2">
      <c r="GE4005"/>
      <c r="GF4005"/>
      <c r="GG4005"/>
      <c r="GH4005"/>
    </row>
    <row r="4006" spans="187:190" s="1" customFormat="1" ht="18" customHeight="1" x14ac:dyDescent="0.2">
      <c r="GE4006"/>
      <c r="GF4006"/>
      <c r="GG4006"/>
      <c r="GH4006"/>
    </row>
    <row r="4007" spans="187:190" s="1" customFormat="1" ht="18" customHeight="1" x14ac:dyDescent="0.2">
      <c r="GE4007"/>
      <c r="GF4007"/>
      <c r="GG4007"/>
      <c r="GH4007"/>
    </row>
    <row r="4008" spans="187:190" s="1" customFormat="1" ht="18" customHeight="1" x14ac:dyDescent="0.2">
      <c r="GE4008"/>
      <c r="GF4008"/>
      <c r="GG4008"/>
      <c r="GH4008"/>
    </row>
    <row r="4009" spans="187:190" s="1" customFormat="1" ht="18" customHeight="1" x14ac:dyDescent="0.2">
      <c r="GE4009"/>
      <c r="GF4009"/>
      <c r="GG4009"/>
      <c r="GH4009"/>
    </row>
    <row r="4010" spans="187:190" s="1" customFormat="1" ht="18" customHeight="1" x14ac:dyDescent="0.2">
      <c r="GE4010"/>
      <c r="GF4010"/>
      <c r="GG4010"/>
      <c r="GH4010"/>
    </row>
    <row r="4011" spans="187:190" s="1" customFormat="1" ht="18" customHeight="1" x14ac:dyDescent="0.2">
      <c r="GE4011"/>
      <c r="GF4011"/>
      <c r="GG4011"/>
      <c r="GH4011"/>
    </row>
    <row r="4012" spans="187:190" s="1" customFormat="1" ht="18" customHeight="1" x14ac:dyDescent="0.2">
      <c r="GE4012"/>
      <c r="GF4012"/>
      <c r="GG4012"/>
      <c r="GH4012"/>
    </row>
    <row r="4013" spans="187:190" s="1" customFormat="1" ht="18" customHeight="1" x14ac:dyDescent="0.2">
      <c r="GE4013"/>
      <c r="GF4013"/>
      <c r="GG4013"/>
      <c r="GH4013"/>
    </row>
    <row r="4014" spans="187:190" s="1" customFormat="1" ht="18" customHeight="1" x14ac:dyDescent="0.2">
      <c r="GE4014"/>
      <c r="GF4014"/>
      <c r="GG4014"/>
      <c r="GH4014"/>
    </row>
    <row r="4015" spans="187:190" s="1" customFormat="1" ht="18" customHeight="1" x14ac:dyDescent="0.2">
      <c r="GE4015"/>
      <c r="GF4015"/>
      <c r="GG4015"/>
      <c r="GH4015"/>
    </row>
    <row r="4016" spans="187:190" s="1" customFormat="1" ht="18" customHeight="1" x14ac:dyDescent="0.2">
      <c r="GE4016"/>
      <c r="GF4016"/>
      <c r="GG4016"/>
      <c r="GH4016"/>
    </row>
    <row r="4017" spans="187:190" s="1" customFormat="1" ht="18" customHeight="1" x14ac:dyDescent="0.2">
      <c r="GE4017"/>
      <c r="GF4017"/>
      <c r="GG4017"/>
      <c r="GH4017"/>
    </row>
    <row r="4018" spans="187:190" s="1" customFormat="1" ht="18" customHeight="1" x14ac:dyDescent="0.2">
      <c r="GE4018"/>
      <c r="GF4018"/>
      <c r="GG4018"/>
      <c r="GH4018"/>
    </row>
    <row r="4019" spans="187:190" s="1" customFormat="1" ht="18" customHeight="1" x14ac:dyDescent="0.2">
      <c r="GE4019"/>
      <c r="GF4019"/>
      <c r="GG4019"/>
      <c r="GH4019"/>
    </row>
    <row r="4020" spans="187:190" s="1" customFormat="1" ht="18" customHeight="1" x14ac:dyDescent="0.2">
      <c r="GE4020"/>
      <c r="GF4020"/>
      <c r="GG4020"/>
      <c r="GH4020"/>
    </row>
    <row r="4021" spans="187:190" s="1" customFormat="1" ht="18" customHeight="1" x14ac:dyDescent="0.2">
      <c r="GE4021"/>
      <c r="GF4021"/>
      <c r="GG4021"/>
      <c r="GH4021"/>
    </row>
    <row r="4022" spans="187:190" s="1" customFormat="1" ht="18" customHeight="1" x14ac:dyDescent="0.2">
      <c r="GE4022"/>
      <c r="GF4022"/>
      <c r="GG4022"/>
      <c r="GH4022"/>
    </row>
    <row r="4023" spans="187:190" s="1" customFormat="1" ht="18" customHeight="1" x14ac:dyDescent="0.2">
      <c r="GE4023"/>
      <c r="GF4023"/>
      <c r="GG4023"/>
      <c r="GH4023"/>
    </row>
    <row r="4024" spans="187:190" s="1" customFormat="1" ht="18" customHeight="1" x14ac:dyDescent="0.2">
      <c r="GE4024"/>
      <c r="GF4024"/>
      <c r="GG4024"/>
      <c r="GH4024"/>
    </row>
    <row r="4025" spans="187:190" s="1" customFormat="1" ht="18" customHeight="1" x14ac:dyDescent="0.2">
      <c r="GE4025"/>
      <c r="GF4025"/>
      <c r="GG4025"/>
      <c r="GH4025"/>
    </row>
    <row r="4026" spans="187:190" s="1" customFormat="1" ht="18" customHeight="1" x14ac:dyDescent="0.2">
      <c r="GE4026"/>
      <c r="GF4026"/>
      <c r="GG4026"/>
      <c r="GH4026"/>
    </row>
    <row r="4027" spans="187:190" s="1" customFormat="1" ht="18" customHeight="1" x14ac:dyDescent="0.2">
      <c r="GE4027"/>
      <c r="GF4027"/>
      <c r="GG4027"/>
      <c r="GH4027"/>
    </row>
    <row r="4028" spans="187:190" s="1" customFormat="1" ht="18" customHeight="1" x14ac:dyDescent="0.2">
      <c r="GE4028"/>
      <c r="GF4028"/>
      <c r="GG4028"/>
      <c r="GH4028"/>
    </row>
    <row r="4029" spans="187:190" s="1" customFormat="1" ht="18" customHeight="1" x14ac:dyDescent="0.2">
      <c r="GE4029"/>
      <c r="GF4029"/>
      <c r="GG4029"/>
      <c r="GH4029"/>
    </row>
    <row r="4030" spans="187:190" s="1" customFormat="1" ht="18" customHeight="1" x14ac:dyDescent="0.2">
      <c r="GE4030"/>
      <c r="GF4030"/>
      <c r="GG4030"/>
      <c r="GH4030"/>
    </row>
    <row r="4031" spans="187:190" s="1" customFormat="1" ht="18" customHeight="1" x14ac:dyDescent="0.2">
      <c r="GE4031"/>
      <c r="GF4031"/>
      <c r="GG4031"/>
      <c r="GH4031"/>
    </row>
    <row r="4032" spans="187:190" s="1" customFormat="1" ht="18" customHeight="1" x14ac:dyDescent="0.2">
      <c r="GE4032"/>
      <c r="GF4032"/>
      <c r="GG4032"/>
      <c r="GH4032"/>
    </row>
    <row r="4033" spans="187:190" s="1" customFormat="1" ht="18" customHeight="1" x14ac:dyDescent="0.2">
      <c r="GE4033"/>
      <c r="GF4033"/>
      <c r="GG4033"/>
      <c r="GH4033"/>
    </row>
    <row r="4034" spans="187:190" s="1" customFormat="1" ht="18" customHeight="1" x14ac:dyDescent="0.2">
      <c r="GE4034"/>
      <c r="GF4034"/>
      <c r="GG4034"/>
      <c r="GH4034"/>
    </row>
    <row r="4035" spans="187:190" s="1" customFormat="1" ht="18" customHeight="1" x14ac:dyDescent="0.2">
      <c r="GE4035"/>
      <c r="GF4035"/>
      <c r="GG4035"/>
      <c r="GH4035"/>
    </row>
    <row r="4036" spans="187:190" s="1" customFormat="1" ht="18" customHeight="1" x14ac:dyDescent="0.2">
      <c r="GE4036"/>
      <c r="GF4036"/>
      <c r="GG4036"/>
      <c r="GH4036"/>
    </row>
    <row r="4037" spans="187:190" s="1" customFormat="1" ht="18" customHeight="1" x14ac:dyDescent="0.2">
      <c r="GE4037"/>
      <c r="GF4037"/>
      <c r="GG4037"/>
      <c r="GH4037"/>
    </row>
    <row r="4038" spans="187:190" s="1" customFormat="1" ht="18" customHeight="1" x14ac:dyDescent="0.2">
      <c r="GE4038"/>
      <c r="GF4038"/>
      <c r="GG4038"/>
      <c r="GH4038"/>
    </row>
    <row r="4039" spans="187:190" s="1" customFormat="1" ht="18" customHeight="1" x14ac:dyDescent="0.2">
      <c r="GE4039"/>
      <c r="GF4039"/>
      <c r="GG4039"/>
      <c r="GH4039"/>
    </row>
    <row r="4040" spans="187:190" s="1" customFormat="1" ht="18" customHeight="1" x14ac:dyDescent="0.2">
      <c r="GE4040"/>
      <c r="GF4040"/>
      <c r="GG4040"/>
      <c r="GH4040"/>
    </row>
    <row r="4041" spans="187:190" s="1" customFormat="1" ht="18" customHeight="1" x14ac:dyDescent="0.2">
      <c r="GE4041"/>
      <c r="GF4041"/>
      <c r="GG4041"/>
      <c r="GH4041"/>
    </row>
    <row r="4042" spans="187:190" s="1" customFormat="1" ht="18" customHeight="1" x14ac:dyDescent="0.2">
      <c r="GE4042"/>
      <c r="GF4042"/>
      <c r="GG4042"/>
      <c r="GH4042"/>
    </row>
    <row r="4043" spans="187:190" s="1" customFormat="1" ht="18" customHeight="1" x14ac:dyDescent="0.2">
      <c r="GE4043"/>
      <c r="GF4043"/>
      <c r="GG4043"/>
      <c r="GH4043"/>
    </row>
    <row r="4044" spans="187:190" s="1" customFormat="1" ht="18" customHeight="1" x14ac:dyDescent="0.2">
      <c r="GE4044"/>
      <c r="GF4044"/>
      <c r="GG4044"/>
      <c r="GH4044"/>
    </row>
    <row r="4045" spans="187:190" s="1" customFormat="1" ht="18" customHeight="1" x14ac:dyDescent="0.2">
      <c r="GE4045"/>
      <c r="GF4045"/>
      <c r="GG4045"/>
      <c r="GH4045"/>
    </row>
    <row r="4046" spans="187:190" s="1" customFormat="1" ht="18" customHeight="1" x14ac:dyDescent="0.2">
      <c r="GE4046"/>
      <c r="GF4046"/>
      <c r="GG4046"/>
      <c r="GH4046"/>
    </row>
    <row r="4047" spans="187:190" s="1" customFormat="1" ht="18" customHeight="1" x14ac:dyDescent="0.2">
      <c r="GE4047"/>
      <c r="GF4047"/>
      <c r="GG4047"/>
      <c r="GH4047"/>
    </row>
    <row r="4048" spans="187:190" s="1" customFormat="1" ht="18" customHeight="1" x14ac:dyDescent="0.2">
      <c r="GE4048"/>
      <c r="GF4048"/>
      <c r="GG4048"/>
      <c r="GH4048"/>
    </row>
    <row r="4049" spans="187:190" s="1" customFormat="1" ht="18" customHeight="1" x14ac:dyDescent="0.2">
      <c r="GE4049"/>
      <c r="GF4049"/>
      <c r="GG4049"/>
      <c r="GH4049"/>
    </row>
    <row r="4050" spans="187:190" s="1" customFormat="1" ht="18" customHeight="1" x14ac:dyDescent="0.2">
      <c r="GE4050"/>
      <c r="GF4050"/>
      <c r="GG4050"/>
      <c r="GH4050"/>
    </row>
    <row r="4051" spans="187:190" s="1" customFormat="1" ht="18" customHeight="1" x14ac:dyDescent="0.2">
      <c r="GE4051"/>
      <c r="GF4051"/>
      <c r="GG4051"/>
      <c r="GH4051"/>
    </row>
    <row r="4052" spans="187:190" s="1" customFormat="1" ht="18" customHeight="1" x14ac:dyDescent="0.2">
      <c r="GE4052"/>
      <c r="GF4052"/>
      <c r="GG4052"/>
      <c r="GH4052"/>
    </row>
    <row r="4053" spans="187:190" s="1" customFormat="1" ht="18" customHeight="1" x14ac:dyDescent="0.2">
      <c r="GE4053"/>
      <c r="GF4053"/>
      <c r="GG4053"/>
      <c r="GH4053"/>
    </row>
    <row r="4054" spans="187:190" s="1" customFormat="1" ht="18" customHeight="1" x14ac:dyDescent="0.2">
      <c r="GE4054"/>
      <c r="GF4054"/>
      <c r="GG4054"/>
      <c r="GH4054"/>
    </row>
    <row r="4055" spans="187:190" s="1" customFormat="1" ht="18" customHeight="1" x14ac:dyDescent="0.2">
      <c r="GE4055"/>
      <c r="GF4055"/>
      <c r="GG4055"/>
      <c r="GH4055"/>
    </row>
    <row r="4056" spans="187:190" s="1" customFormat="1" ht="18" customHeight="1" x14ac:dyDescent="0.2">
      <c r="GE4056"/>
      <c r="GF4056"/>
      <c r="GG4056"/>
      <c r="GH4056"/>
    </row>
    <row r="4057" spans="187:190" s="1" customFormat="1" ht="18" customHeight="1" x14ac:dyDescent="0.2">
      <c r="GE4057"/>
      <c r="GF4057"/>
      <c r="GG4057"/>
      <c r="GH4057"/>
    </row>
    <row r="4058" spans="187:190" s="1" customFormat="1" ht="18" customHeight="1" x14ac:dyDescent="0.2">
      <c r="GE4058"/>
      <c r="GF4058"/>
      <c r="GG4058"/>
      <c r="GH4058"/>
    </row>
    <row r="4059" spans="187:190" s="1" customFormat="1" ht="18" customHeight="1" x14ac:dyDescent="0.2">
      <c r="GE4059"/>
      <c r="GF4059"/>
      <c r="GG4059"/>
      <c r="GH4059"/>
    </row>
    <row r="4060" spans="187:190" s="1" customFormat="1" ht="18" customHeight="1" x14ac:dyDescent="0.2">
      <c r="GE4060"/>
      <c r="GF4060"/>
      <c r="GG4060"/>
      <c r="GH4060"/>
    </row>
    <row r="4061" spans="187:190" s="1" customFormat="1" ht="18" customHeight="1" x14ac:dyDescent="0.2">
      <c r="GE4061"/>
      <c r="GF4061"/>
      <c r="GG4061"/>
      <c r="GH4061"/>
    </row>
    <row r="4062" spans="187:190" s="1" customFormat="1" ht="18" customHeight="1" x14ac:dyDescent="0.2">
      <c r="GE4062"/>
      <c r="GF4062"/>
      <c r="GG4062"/>
      <c r="GH4062"/>
    </row>
    <row r="4063" spans="187:190" s="1" customFormat="1" ht="18" customHeight="1" x14ac:dyDescent="0.2">
      <c r="GE4063"/>
      <c r="GF4063"/>
      <c r="GG4063"/>
      <c r="GH4063"/>
    </row>
    <row r="4064" spans="187:190" s="1" customFormat="1" ht="18" customHeight="1" x14ac:dyDescent="0.2">
      <c r="GE4064"/>
      <c r="GF4064"/>
      <c r="GG4064"/>
      <c r="GH4064"/>
    </row>
    <row r="4065" spans="187:190" s="1" customFormat="1" ht="18" customHeight="1" x14ac:dyDescent="0.2">
      <c r="GE4065"/>
      <c r="GF4065"/>
      <c r="GG4065"/>
      <c r="GH4065"/>
    </row>
    <row r="4066" spans="187:190" s="1" customFormat="1" ht="18" customHeight="1" x14ac:dyDescent="0.2">
      <c r="GE4066"/>
      <c r="GF4066"/>
      <c r="GG4066"/>
      <c r="GH4066"/>
    </row>
    <row r="4067" spans="187:190" s="1" customFormat="1" ht="18" customHeight="1" x14ac:dyDescent="0.2">
      <c r="GE4067"/>
      <c r="GF4067"/>
      <c r="GG4067"/>
      <c r="GH4067"/>
    </row>
    <row r="4068" spans="187:190" s="1" customFormat="1" ht="18" customHeight="1" x14ac:dyDescent="0.2">
      <c r="GE4068"/>
      <c r="GF4068"/>
      <c r="GG4068"/>
      <c r="GH4068"/>
    </row>
    <row r="4069" spans="187:190" s="1" customFormat="1" ht="18" customHeight="1" x14ac:dyDescent="0.2">
      <c r="GE4069"/>
      <c r="GF4069"/>
      <c r="GG4069"/>
      <c r="GH4069"/>
    </row>
    <row r="4070" spans="187:190" s="1" customFormat="1" ht="18" customHeight="1" x14ac:dyDescent="0.2">
      <c r="GE4070"/>
      <c r="GF4070"/>
      <c r="GG4070"/>
      <c r="GH4070"/>
    </row>
    <row r="4071" spans="187:190" s="1" customFormat="1" ht="18" customHeight="1" x14ac:dyDescent="0.2">
      <c r="GE4071"/>
      <c r="GF4071"/>
      <c r="GG4071"/>
      <c r="GH4071"/>
    </row>
    <row r="4072" spans="187:190" s="1" customFormat="1" ht="18" customHeight="1" x14ac:dyDescent="0.2">
      <c r="GE4072"/>
      <c r="GF4072"/>
      <c r="GG4072"/>
      <c r="GH4072"/>
    </row>
    <row r="4073" spans="187:190" s="1" customFormat="1" ht="18" customHeight="1" x14ac:dyDescent="0.2">
      <c r="GE4073"/>
      <c r="GF4073"/>
      <c r="GG4073"/>
      <c r="GH4073"/>
    </row>
    <row r="4074" spans="187:190" s="1" customFormat="1" ht="18" customHeight="1" x14ac:dyDescent="0.2">
      <c r="GE4074"/>
      <c r="GF4074"/>
      <c r="GG4074"/>
      <c r="GH4074"/>
    </row>
    <row r="4075" spans="187:190" s="1" customFormat="1" ht="18" customHeight="1" x14ac:dyDescent="0.2">
      <c r="GE4075"/>
      <c r="GF4075"/>
      <c r="GG4075"/>
      <c r="GH4075"/>
    </row>
    <row r="4076" spans="187:190" s="1" customFormat="1" ht="18" customHeight="1" x14ac:dyDescent="0.2">
      <c r="GE4076"/>
      <c r="GF4076"/>
      <c r="GG4076"/>
      <c r="GH4076"/>
    </row>
    <row r="4077" spans="187:190" s="1" customFormat="1" ht="18" customHeight="1" x14ac:dyDescent="0.2">
      <c r="GE4077"/>
      <c r="GF4077"/>
      <c r="GG4077"/>
      <c r="GH4077"/>
    </row>
    <row r="4078" spans="187:190" s="1" customFormat="1" ht="18" customHeight="1" x14ac:dyDescent="0.2">
      <c r="GE4078"/>
      <c r="GF4078"/>
      <c r="GG4078"/>
      <c r="GH4078"/>
    </row>
    <row r="4079" spans="187:190" s="1" customFormat="1" ht="18" customHeight="1" x14ac:dyDescent="0.2">
      <c r="GE4079"/>
      <c r="GF4079"/>
      <c r="GG4079"/>
      <c r="GH4079"/>
    </row>
    <row r="4080" spans="187:190" s="1" customFormat="1" ht="18" customHeight="1" x14ac:dyDescent="0.2">
      <c r="GE4080"/>
      <c r="GF4080"/>
      <c r="GG4080"/>
      <c r="GH4080"/>
    </row>
    <row r="4081" spans="187:190" s="1" customFormat="1" ht="18" customHeight="1" x14ac:dyDescent="0.2">
      <c r="GE4081"/>
      <c r="GF4081"/>
      <c r="GG4081"/>
      <c r="GH4081"/>
    </row>
    <row r="4082" spans="187:190" s="1" customFormat="1" ht="18" customHeight="1" x14ac:dyDescent="0.2">
      <c r="GE4082"/>
      <c r="GF4082"/>
      <c r="GG4082"/>
      <c r="GH4082"/>
    </row>
    <row r="4083" spans="187:190" s="1" customFormat="1" ht="18" customHeight="1" x14ac:dyDescent="0.2">
      <c r="GE4083"/>
      <c r="GF4083"/>
      <c r="GG4083"/>
      <c r="GH4083"/>
    </row>
    <row r="4084" spans="187:190" s="1" customFormat="1" ht="18" customHeight="1" x14ac:dyDescent="0.2">
      <c r="GE4084"/>
      <c r="GF4084"/>
      <c r="GG4084"/>
      <c r="GH4084"/>
    </row>
    <row r="4085" spans="187:190" s="1" customFormat="1" ht="18" customHeight="1" x14ac:dyDescent="0.2">
      <c r="GE4085"/>
      <c r="GF4085"/>
      <c r="GG4085"/>
      <c r="GH4085"/>
    </row>
    <row r="4086" spans="187:190" s="1" customFormat="1" ht="18" customHeight="1" x14ac:dyDescent="0.2">
      <c r="GE4086"/>
      <c r="GF4086"/>
      <c r="GG4086"/>
      <c r="GH4086"/>
    </row>
    <row r="4087" spans="187:190" s="1" customFormat="1" ht="18" customHeight="1" x14ac:dyDescent="0.2">
      <c r="GE4087"/>
      <c r="GF4087"/>
      <c r="GG4087"/>
      <c r="GH4087"/>
    </row>
    <row r="4088" spans="187:190" s="1" customFormat="1" ht="18" customHeight="1" x14ac:dyDescent="0.2">
      <c r="GE4088"/>
      <c r="GF4088"/>
      <c r="GG4088"/>
      <c r="GH4088"/>
    </row>
    <row r="4089" spans="187:190" s="1" customFormat="1" ht="18" customHeight="1" x14ac:dyDescent="0.2">
      <c r="GE4089"/>
      <c r="GF4089"/>
      <c r="GG4089"/>
      <c r="GH4089"/>
    </row>
    <row r="4090" spans="187:190" s="1" customFormat="1" ht="18" customHeight="1" x14ac:dyDescent="0.2">
      <c r="GE4090"/>
      <c r="GF4090"/>
      <c r="GG4090"/>
      <c r="GH4090"/>
    </row>
    <row r="4091" spans="187:190" s="1" customFormat="1" ht="18" customHeight="1" x14ac:dyDescent="0.2">
      <c r="GE4091"/>
      <c r="GF4091"/>
      <c r="GG4091"/>
      <c r="GH4091"/>
    </row>
    <row r="4092" spans="187:190" s="1" customFormat="1" ht="18" customHeight="1" x14ac:dyDescent="0.2">
      <c r="GE4092"/>
      <c r="GF4092"/>
      <c r="GG4092"/>
      <c r="GH4092"/>
    </row>
    <row r="4093" spans="187:190" s="1" customFormat="1" ht="18" customHeight="1" x14ac:dyDescent="0.2">
      <c r="GE4093"/>
      <c r="GF4093"/>
      <c r="GG4093"/>
      <c r="GH4093"/>
    </row>
    <row r="4094" spans="187:190" s="1" customFormat="1" ht="18" customHeight="1" x14ac:dyDescent="0.2">
      <c r="GE4094"/>
      <c r="GF4094"/>
      <c r="GG4094"/>
      <c r="GH4094"/>
    </row>
    <row r="4095" spans="187:190" s="1" customFormat="1" ht="18" customHeight="1" x14ac:dyDescent="0.2">
      <c r="GE4095"/>
      <c r="GF4095"/>
      <c r="GG4095"/>
      <c r="GH4095"/>
    </row>
    <row r="4096" spans="187:190" s="1" customFormat="1" ht="18" customHeight="1" x14ac:dyDescent="0.2">
      <c r="GE4096"/>
      <c r="GF4096"/>
      <c r="GG4096"/>
      <c r="GH4096"/>
    </row>
    <row r="4097" spans="187:190" s="1" customFormat="1" ht="18" customHeight="1" x14ac:dyDescent="0.2">
      <c r="GE4097"/>
      <c r="GF4097"/>
      <c r="GG4097"/>
      <c r="GH4097"/>
    </row>
    <row r="4098" spans="187:190" s="1" customFormat="1" ht="18" customHeight="1" x14ac:dyDescent="0.2">
      <c r="GE4098"/>
      <c r="GF4098"/>
      <c r="GG4098"/>
      <c r="GH4098"/>
    </row>
    <row r="4099" spans="187:190" s="1" customFormat="1" ht="18" customHeight="1" x14ac:dyDescent="0.2">
      <c r="GE4099"/>
      <c r="GF4099"/>
      <c r="GG4099"/>
      <c r="GH4099"/>
    </row>
    <row r="4100" spans="187:190" s="1" customFormat="1" ht="18" customHeight="1" x14ac:dyDescent="0.2">
      <c r="GE4100"/>
      <c r="GF4100"/>
      <c r="GG4100"/>
      <c r="GH4100"/>
    </row>
    <row r="4101" spans="187:190" s="1" customFormat="1" ht="18" customHeight="1" x14ac:dyDescent="0.2">
      <c r="GE4101"/>
      <c r="GF4101"/>
      <c r="GG4101"/>
      <c r="GH4101"/>
    </row>
    <row r="4102" spans="187:190" s="1" customFormat="1" ht="18" customHeight="1" x14ac:dyDescent="0.2">
      <c r="GE4102"/>
      <c r="GF4102"/>
      <c r="GG4102"/>
      <c r="GH4102"/>
    </row>
    <row r="4103" spans="187:190" s="1" customFormat="1" ht="18" customHeight="1" x14ac:dyDescent="0.2">
      <c r="GE4103"/>
      <c r="GF4103"/>
      <c r="GG4103"/>
      <c r="GH4103"/>
    </row>
    <row r="4104" spans="187:190" s="1" customFormat="1" ht="18" customHeight="1" x14ac:dyDescent="0.2">
      <c r="GE4104"/>
      <c r="GF4104"/>
      <c r="GG4104"/>
      <c r="GH4104"/>
    </row>
    <row r="4105" spans="187:190" s="1" customFormat="1" ht="18" customHeight="1" x14ac:dyDescent="0.2">
      <c r="GE4105"/>
      <c r="GF4105"/>
      <c r="GG4105"/>
      <c r="GH4105"/>
    </row>
    <row r="4106" spans="187:190" s="1" customFormat="1" ht="18" customHeight="1" x14ac:dyDescent="0.2">
      <c r="GE4106"/>
      <c r="GF4106"/>
      <c r="GG4106"/>
      <c r="GH4106"/>
    </row>
    <row r="4107" spans="187:190" s="1" customFormat="1" ht="18" customHeight="1" x14ac:dyDescent="0.2">
      <c r="GE4107"/>
      <c r="GF4107"/>
      <c r="GG4107"/>
      <c r="GH4107"/>
    </row>
    <row r="4108" spans="187:190" s="1" customFormat="1" ht="18" customHeight="1" x14ac:dyDescent="0.2">
      <c r="GE4108"/>
      <c r="GF4108"/>
      <c r="GG4108"/>
      <c r="GH4108"/>
    </row>
    <row r="4109" spans="187:190" s="1" customFormat="1" ht="18" customHeight="1" x14ac:dyDescent="0.2">
      <c r="GE4109"/>
      <c r="GF4109"/>
      <c r="GG4109"/>
      <c r="GH4109"/>
    </row>
    <row r="4110" spans="187:190" s="1" customFormat="1" ht="18" customHeight="1" x14ac:dyDescent="0.2">
      <c r="GE4110"/>
      <c r="GF4110"/>
      <c r="GG4110"/>
      <c r="GH4110"/>
    </row>
    <row r="4111" spans="187:190" s="1" customFormat="1" ht="18" customHeight="1" x14ac:dyDescent="0.2">
      <c r="GE4111"/>
      <c r="GF4111"/>
      <c r="GG4111"/>
      <c r="GH4111"/>
    </row>
    <row r="4112" spans="187:190" s="1" customFormat="1" ht="18" customHeight="1" x14ac:dyDescent="0.2">
      <c r="GE4112"/>
      <c r="GF4112"/>
      <c r="GG4112"/>
      <c r="GH4112"/>
    </row>
    <row r="4113" spans="187:190" s="1" customFormat="1" ht="18" customHeight="1" x14ac:dyDescent="0.2">
      <c r="GE4113"/>
      <c r="GF4113"/>
      <c r="GG4113"/>
      <c r="GH4113"/>
    </row>
    <row r="4114" spans="187:190" s="1" customFormat="1" ht="18" customHeight="1" x14ac:dyDescent="0.2">
      <c r="GE4114"/>
      <c r="GF4114"/>
      <c r="GG4114"/>
      <c r="GH4114"/>
    </row>
    <row r="4115" spans="187:190" s="1" customFormat="1" ht="18" customHeight="1" x14ac:dyDescent="0.2">
      <c r="GE4115"/>
      <c r="GF4115"/>
      <c r="GG4115"/>
      <c r="GH4115"/>
    </row>
    <row r="4116" spans="187:190" s="1" customFormat="1" ht="18" customHeight="1" x14ac:dyDescent="0.2">
      <c r="GE4116"/>
      <c r="GF4116"/>
      <c r="GG4116"/>
      <c r="GH4116"/>
    </row>
    <row r="4117" spans="187:190" s="1" customFormat="1" ht="18" customHeight="1" x14ac:dyDescent="0.2">
      <c r="GE4117"/>
      <c r="GF4117"/>
      <c r="GG4117"/>
      <c r="GH4117"/>
    </row>
    <row r="4118" spans="187:190" s="1" customFormat="1" ht="18" customHeight="1" x14ac:dyDescent="0.2">
      <c r="GE4118"/>
      <c r="GF4118"/>
      <c r="GG4118"/>
      <c r="GH4118"/>
    </row>
    <row r="4119" spans="187:190" s="1" customFormat="1" ht="18" customHeight="1" x14ac:dyDescent="0.2">
      <c r="GE4119"/>
      <c r="GF4119"/>
      <c r="GG4119"/>
      <c r="GH4119"/>
    </row>
    <row r="4120" spans="187:190" s="1" customFormat="1" ht="18" customHeight="1" x14ac:dyDescent="0.2">
      <c r="GE4120"/>
      <c r="GF4120"/>
      <c r="GG4120"/>
      <c r="GH4120"/>
    </row>
    <row r="4121" spans="187:190" s="1" customFormat="1" ht="18" customHeight="1" x14ac:dyDescent="0.2">
      <c r="GE4121"/>
      <c r="GF4121"/>
      <c r="GG4121"/>
      <c r="GH4121"/>
    </row>
    <row r="4122" spans="187:190" s="1" customFormat="1" ht="18" customHeight="1" x14ac:dyDescent="0.2">
      <c r="GE4122"/>
      <c r="GF4122"/>
      <c r="GG4122"/>
      <c r="GH4122"/>
    </row>
    <row r="4123" spans="187:190" s="1" customFormat="1" ht="18" customHeight="1" x14ac:dyDescent="0.2">
      <c r="GE4123"/>
      <c r="GF4123"/>
      <c r="GG4123"/>
      <c r="GH4123"/>
    </row>
    <row r="4124" spans="187:190" s="1" customFormat="1" ht="18" customHeight="1" x14ac:dyDescent="0.2">
      <c r="GE4124"/>
      <c r="GF4124"/>
      <c r="GG4124"/>
      <c r="GH4124"/>
    </row>
    <row r="4125" spans="187:190" s="1" customFormat="1" ht="18" customHeight="1" x14ac:dyDescent="0.2">
      <c r="GE4125"/>
      <c r="GF4125"/>
      <c r="GG4125"/>
      <c r="GH4125"/>
    </row>
    <row r="4126" spans="187:190" s="1" customFormat="1" ht="18" customHeight="1" x14ac:dyDescent="0.2">
      <c r="GE4126"/>
      <c r="GF4126"/>
      <c r="GG4126"/>
      <c r="GH4126"/>
    </row>
    <row r="4127" spans="187:190" s="1" customFormat="1" ht="18" customHeight="1" x14ac:dyDescent="0.2">
      <c r="GE4127"/>
      <c r="GF4127"/>
      <c r="GG4127"/>
      <c r="GH4127"/>
    </row>
    <row r="4128" spans="187:190" s="1" customFormat="1" ht="18" customHeight="1" x14ac:dyDescent="0.2">
      <c r="GE4128"/>
      <c r="GF4128"/>
      <c r="GG4128"/>
      <c r="GH4128"/>
    </row>
    <row r="4129" spans="187:190" s="1" customFormat="1" ht="18" customHeight="1" x14ac:dyDescent="0.2">
      <c r="GE4129"/>
      <c r="GF4129"/>
      <c r="GG4129"/>
      <c r="GH4129"/>
    </row>
    <row r="4130" spans="187:190" s="1" customFormat="1" ht="18" customHeight="1" x14ac:dyDescent="0.2">
      <c r="GE4130"/>
      <c r="GF4130"/>
      <c r="GG4130"/>
      <c r="GH4130"/>
    </row>
    <row r="4131" spans="187:190" s="1" customFormat="1" ht="18" customHeight="1" x14ac:dyDescent="0.2">
      <c r="GE4131"/>
      <c r="GF4131"/>
      <c r="GG4131"/>
      <c r="GH4131"/>
    </row>
    <row r="4132" spans="187:190" s="1" customFormat="1" ht="18" customHeight="1" x14ac:dyDescent="0.2">
      <c r="GE4132"/>
      <c r="GF4132"/>
      <c r="GG4132"/>
      <c r="GH4132"/>
    </row>
    <row r="4133" spans="187:190" s="1" customFormat="1" ht="18" customHeight="1" x14ac:dyDescent="0.2">
      <c r="GE4133"/>
      <c r="GF4133"/>
      <c r="GG4133"/>
      <c r="GH4133"/>
    </row>
    <row r="4134" spans="187:190" s="1" customFormat="1" ht="18" customHeight="1" x14ac:dyDescent="0.2">
      <c r="GE4134"/>
      <c r="GF4134"/>
      <c r="GG4134"/>
      <c r="GH4134"/>
    </row>
    <row r="4135" spans="187:190" s="1" customFormat="1" ht="18" customHeight="1" x14ac:dyDescent="0.2">
      <c r="GE4135"/>
      <c r="GF4135"/>
      <c r="GG4135"/>
      <c r="GH4135"/>
    </row>
    <row r="4136" spans="187:190" s="1" customFormat="1" ht="18" customHeight="1" x14ac:dyDescent="0.2">
      <c r="GE4136"/>
      <c r="GF4136"/>
      <c r="GG4136"/>
      <c r="GH4136"/>
    </row>
    <row r="4137" spans="187:190" s="1" customFormat="1" ht="18" customHeight="1" x14ac:dyDescent="0.2">
      <c r="GE4137"/>
      <c r="GF4137"/>
      <c r="GG4137"/>
      <c r="GH4137"/>
    </row>
    <row r="4138" spans="187:190" s="1" customFormat="1" ht="18" customHeight="1" x14ac:dyDescent="0.2">
      <c r="GE4138"/>
      <c r="GF4138"/>
      <c r="GG4138"/>
      <c r="GH4138"/>
    </row>
    <row r="4139" spans="187:190" s="1" customFormat="1" ht="18" customHeight="1" x14ac:dyDescent="0.2">
      <c r="GE4139"/>
      <c r="GF4139"/>
      <c r="GG4139"/>
      <c r="GH4139"/>
    </row>
    <row r="4140" spans="187:190" s="1" customFormat="1" ht="18" customHeight="1" x14ac:dyDescent="0.2">
      <c r="GE4140"/>
      <c r="GF4140"/>
      <c r="GG4140"/>
      <c r="GH4140"/>
    </row>
    <row r="4141" spans="187:190" s="1" customFormat="1" ht="18" customHeight="1" x14ac:dyDescent="0.2">
      <c r="GE4141"/>
      <c r="GF4141"/>
      <c r="GG4141"/>
      <c r="GH4141"/>
    </row>
    <row r="4142" spans="187:190" s="1" customFormat="1" ht="18" customHeight="1" x14ac:dyDescent="0.2">
      <c r="GE4142"/>
      <c r="GF4142"/>
      <c r="GG4142"/>
      <c r="GH4142"/>
    </row>
    <row r="4143" spans="187:190" s="1" customFormat="1" ht="18" customHeight="1" x14ac:dyDescent="0.2">
      <c r="GE4143"/>
      <c r="GF4143"/>
      <c r="GG4143"/>
      <c r="GH4143"/>
    </row>
    <row r="4144" spans="187:190" s="1" customFormat="1" ht="18" customHeight="1" x14ac:dyDescent="0.2">
      <c r="GE4144"/>
      <c r="GF4144"/>
      <c r="GG4144"/>
      <c r="GH4144"/>
    </row>
    <row r="4145" spans="187:190" s="1" customFormat="1" ht="18" customHeight="1" x14ac:dyDescent="0.2">
      <c r="GE4145"/>
      <c r="GF4145"/>
      <c r="GG4145"/>
      <c r="GH4145"/>
    </row>
    <row r="4146" spans="187:190" s="1" customFormat="1" ht="18" customHeight="1" x14ac:dyDescent="0.2">
      <c r="GE4146"/>
      <c r="GF4146"/>
      <c r="GG4146"/>
      <c r="GH4146"/>
    </row>
    <row r="4147" spans="187:190" s="1" customFormat="1" ht="18" customHeight="1" x14ac:dyDescent="0.2">
      <c r="GE4147"/>
      <c r="GF4147"/>
      <c r="GG4147"/>
      <c r="GH4147"/>
    </row>
    <row r="4148" spans="187:190" s="1" customFormat="1" ht="18" customHeight="1" x14ac:dyDescent="0.2">
      <c r="GE4148"/>
      <c r="GF4148"/>
      <c r="GG4148"/>
      <c r="GH4148"/>
    </row>
    <row r="4149" spans="187:190" s="1" customFormat="1" ht="18" customHeight="1" x14ac:dyDescent="0.2">
      <c r="GE4149"/>
      <c r="GF4149"/>
      <c r="GG4149"/>
      <c r="GH4149"/>
    </row>
    <row r="4150" spans="187:190" s="1" customFormat="1" ht="18" customHeight="1" x14ac:dyDescent="0.2">
      <c r="GE4150"/>
      <c r="GF4150"/>
      <c r="GG4150"/>
      <c r="GH4150"/>
    </row>
    <row r="4151" spans="187:190" s="1" customFormat="1" ht="18" customHeight="1" x14ac:dyDescent="0.2">
      <c r="GE4151"/>
      <c r="GF4151"/>
      <c r="GG4151"/>
      <c r="GH4151"/>
    </row>
    <row r="4152" spans="187:190" s="1" customFormat="1" ht="18" customHeight="1" x14ac:dyDescent="0.2">
      <c r="GE4152"/>
      <c r="GF4152"/>
      <c r="GG4152"/>
      <c r="GH4152"/>
    </row>
    <row r="4153" spans="187:190" s="1" customFormat="1" ht="18" customHeight="1" x14ac:dyDescent="0.2">
      <c r="GE4153"/>
      <c r="GF4153"/>
      <c r="GG4153"/>
      <c r="GH4153"/>
    </row>
    <row r="4154" spans="187:190" s="1" customFormat="1" ht="18" customHeight="1" x14ac:dyDescent="0.2">
      <c r="GE4154"/>
      <c r="GF4154"/>
      <c r="GG4154"/>
      <c r="GH4154"/>
    </row>
    <row r="4155" spans="187:190" s="1" customFormat="1" ht="18" customHeight="1" x14ac:dyDescent="0.2">
      <c r="GE4155"/>
      <c r="GF4155"/>
      <c r="GG4155"/>
      <c r="GH4155"/>
    </row>
    <row r="4156" spans="187:190" s="1" customFormat="1" ht="18" customHeight="1" x14ac:dyDescent="0.2">
      <c r="GE4156"/>
      <c r="GF4156"/>
      <c r="GG4156"/>
      <c r="GH4156"/>
    </row>
    <row r="4157" spans="187:190" s="1" customFormat="1" ht="18" customHeight="1" x14ac:dyDescent="0.2">
      <c r="GE4157"/>
      <c r="GF4157"/>
      <c r="GG4157"/>
      <c r="GH4157"/>
    </row>
    <row r="4158" spans="187:190" s="1" customFormat="1" ht="18" customHeight="1" x14ac:dyDescent="0.2">
      <c r="GE4158"/>
      <c r="GF4158"/>
      <c r="GG4158"/>
      <c r="GH4158"/>
    </row>
    <row r="4159" spans="187:190" s="1" customFormat="1" ht="18" customHeight="1" x14ac:dyDescent="0.2">
      <c r="GE4159"/>
      <c r="GF4159"/>
      <c r="GG4159"/>
      <c r="GH4159"/>
    </row>
    <row r="4160" spans="187:190" s="1" customFormat="1" ht="18" customHeight="1" x14ac:dyDescent="0.2">
      <c r="GE4160"/>
      <c r="GF4160"/>
      <c r="GG4160"/>
      <c r="GH4160"/>
    </row>
    <row r="4161" spans="187:190" s="1" customFormat="1" ht="18" customHeight="1" x14ac:dyDescent="0.2">
      <c r="GE4161"/>
      <c r="GF4161"/>
      <c r="GG4161"/>
      <c r="GH4161"/>
    </row>
    <row r="4162" spans="187:190" s="1" customFormat="1" ht="18" customHeight="1" x14ac:dyDescent="0.2">
      <c r="GE4162"/>
      <c r="GF4162"/>
      <c r="GG4162"/>
      <c r="GH4162"/>
    </row>
    <row r="4163" spans="187:190" s="1" customFormat="1" ht="18" customHeight="1" x14ac:dyDescent="0.2">
      <c r="GE4163"/>
      <c r="GF4163"/>
      <c r="GG4163"/>
      <c r="GH4163"/>
    </row>
    <row r="4164" spans="187:190" s="1" customFormat="1" ht="18" customHeight="1" x14ac:dyDescent="0.2">
      <c r="GE4164"/>
      <c r="GF4164"/>
      <c r="GG4164"/>
      <c r="GH4164"/>
    </row>
    <row r="4165" spans="187:190" s="1" customFormat="1" ht="18" customHeight="1" x14ac:dyDescent="0.2">
      <c r="GE4165"/>
      <c r="GF4165"/>
      <c r="GG4165"/>
      <c r="GH4165"/>
    </row>
    <row r="4166" spans="187:190" s="1" customFormat="1" ht="18" customHeight="1" x14ac:dyDescent="0.2">
      <c r="GE4166"/>
      <c r="GF4166"/>
      <c r="GG4166"/>
      <c r="GH4166"/>
    </row>
    <row r="4167" spans="187:190" s="1" customFormat="1" ht="18" customHeight="1" x14ac:dyDescent="0.2">
      <c r="GE4167"/>
      <c r="GF4167"/>
      <c r="GG4167"/>
      <c r="GH4167"/>
    </row>
    <row r="4168" spans="187:190" s="1" customFormat="1" ht="18" customHeight="1" x14ac:dyDescent="0.2">
      <c r="GE4168"/>
      <c r="GF4168"/>
      <c r="GG4168"/>
      <c r="GH4168"/>
    </row>
    <row r="4169" spans="187:190" s="1" customFormat="1" ht="18" customHeight="1" x14ac:dyDescent="0.2">
      <c r="GE4169"/>
      <c r="GF4169"/>
      <c r="GG4169"/>
      <c r="GH4169"/>
    </row>
    <row r="4170" spans="187:190" s="1" customFormat="1" ht="18" customHeight="1" x14ac:dyDescent="0.2">
      <c r="GE4170"/>
      <c r="GF4170"/>
      <c r="GG4170"/>
      <c r="GH4170"/>
    </row>
    <row r="4171" spans="187:190" s="1" customFormat="1" ht="18" customHeight="1" x14ac:dyDescent="0.2">
      <c r="GE4171"/>
      <c r="GF4171"/>
      <c r="GG4171"/>
      <c r="GH4171"/>
    </row>
    <row r="4172" spans="187:190" s="1" customFormat="1" ht="18" customHeight="1" x14ac:dyDescent="0.2">
      <c r="GE4172"/>
      <c r="GF4172"/>
      <c r="GG4172"/>
      <c r="GH4172"/>
    </row>
    <row r="4173" spans="187:190" s="1" customFormat="1" ht="18" customHeight="1" x14ac:dyDescent="0.2">
      <c r="GE4173"/>
      <c r="GF4173"/>
      <c r="GG4173"/>
      <c r="GH4173"/>
    </row>
    <row r="4174" spans="187:190" s="1" customFormat="1" ht="18" customHeight="1" x14ac:dyDescent="0.2">
      <c r="GE4174"/>
      <c r="GF4174"/>
      <c r="GG4174"/>
      <c r="GH4174"/>
    </row>
    <row r="4175" spans="187:190" s="1" customFormat="1" ht="18" customHeight="1" x14ac:dyDescent="0.2">
      <c r="GE4175"/>
      <c r="GF4175"/>
      <c r="GG4175"/>
      <c r="GH4175"/>
    </row>
    <row r="4176" spans="187:190" s="1" customFormat="1" ht="18" customHeight="1" x14ac:dyDescent="0.2">
      <c r="GE4176"/>
      <c r="GF4176"/>
      <c r="GG4176"/>
      <c r="GH4176"/>
    </row>
    <row r="4177" spans="187:190" s="1" customFormat="1" ht="18" customHeight="1" x14ac:dyDescent="0.2">
      <c r="GE4177"/>
      <c r="GF4177"/>
      <c r="GG4177"/>
      <c r="GH4177"/>
    </row>
    <row r="4178" spans="187:190" s="1" customFormat="1" ht="18" customHeight="1" x14ac:dyDescent="0.2">
      <c r="GE4178"/>
      <c r="GF4178"/>
      <c r="GG4178"/>
      <c r="GH4178"/>
    </row>
    <row r="4179" spans="187:190" s="1" customFormat="1" ht="18" customHeight="1" x14ac:dyDescent="0.2">
      <c r="GE4179"/>
      <c r="GF4179"/>
      <c r="GG4179"/>
      <c r="GH4179"/>
    </row>
    <row r="4180" spans="187:190" s="1" customFormat="1" ht="18" customHeight="1" x14ac:dyDescent="0.2">
      <c r="GE4180"/>
      <c r="GF4180"/>
      <c r="GG4180"/>
      <c r="GH4180"/>
    </row>
    <row r="4181" spans="187:190" s="1" customFormat="1" ht="18" customHeight="1" x14ac:dyDescent="0.2">
      <c r="GE4181"/>
      <c r="GF4181"/>
      <c r="GG4181"/>
      <c r="GH4181"/>
    </row>
    <row r="4182" spans="187:190" s="1" customFormat="1" ht="18" customHeight="1" x14ac:dyDescent="0.2">
      <c r="GE4182"/>
      <c r="GF4182"/>
      <c r="GG4182"/>
      <c r="GH4182"/>
    </row>
    <row r="4183" spans="187:190" s="1" customFormat="1" ht="18" customHeight="1" x14ac:dyDescent="0.2">
      <c r="GE4183"/>
      <c r="GF4183"/>
      <c r="GG4183"/>
      <c r="GH4183"/>
    </row>
    <row r="4184" spans="187:190" s="1" customFormat="1" ht="18" customHeight="1" x14ac:dyDescent="0.2">
      <c r="GE4184"/>
      <c r="GF4184"/>
      <c r="GG4184"/>
      <c r="GH4184"/>
    </row>
    <row r="4185" spans="187:190" s="1" customFormat="1" ht="18" customHeight="1" x14ac:dyDescent="0.2">
      <c r="GE4185"/>
      <c r="GF4185"/>
      <c r="GG4185"/>
      <c r="GH4185"/>
    </row>
    <row r="4186" spans="187:190" s="1" customFormat="1" ht="18" customHeight="1" x14ac:dyDescent="0.2">
      <c r="GE4186"/>
      <c r="GF4186"/>
      <c r="GG4186"/>
      <c r="GH4186"/>
    </row>
    <row r="4187" spans="187:190" s="1" customFormat="1" ht="18" customHeight="1" x14ac:dyDescent="0.2">
      <c r="GE4187"/>
      <c r="GF4187"/>
      <c r="GG4187"/>
      <c r="GH4187"/>
    </row>
    <row r="4188" spans="187:190" s="1" customFormat="1" ht="18" customHeight="1" x14ac:dyDescent="0.2">
      <c r="GE4188"/>
      <c r="GF4188"/>
      <c r="GG4188"/>
      <c r="GH4188"/>
    </row>
    <row r="4189" spans="187:190" s="1" customFormat="1" ht="18" customHeight="1" x14ac:dyDescent="0.2">
      <c r="GE4189"/>
      <c r="GF4189"/>
      <c r="GG4189"/>
      <c r="GH4189"/>
    </row>
    <row r="4190" spans="187:190" s="1" customFormat="1" ht="18" customHeight="1" x14ac:dyDescent="0.2">
      <c r="GE4190"/>
      <c r="GF4190"/>
      <c r="GG4190"/>
      <c r="GH4190"/>
    </row>
    <row r="4191" spans="187:190" s="1" customFormat="1" ht="18" customHeight="1" x14ac:dyDescent="0.2">
      <c r="GE4191"/>
      <c r="GF4191"/>
      <c r="GG4191"/>
      <c r="GH4191"/>
    </row>
    <row r="4192" spans="187:190" s="1" customFormat="1" ht="18" customHeight="1" x14ac:dyDescent="0.2">
      <c r="GE4192"/>
      <c r="GF4192"/>
      <c r="GG4192"/>
      <c r="GH4192"/>
    </row>
    <row r="4193" spans="187:190" s="1" customFormat="1" ht="18" customHeight="1" x14ac:dyDescent="0.2">
      <c r="GE4193"/>
      <c r="GF4193"/>
      <c r="GG4193"/>
      <c r="GH4193"/>
    </row>
    <row r="4194" spans="187:190" s="1" customFormat="1" ht="18" customHeight="1" x14ac:dyDescent="0.2">
      <c r="GE4194"/>
      <c r="GF4194"/>
      <c r="GG4194"/>
      <c r="GH4194"/>
    </row>
    <row r="4195" spans="187:190" s="1" customFormat="1" ht="18" customHeight="1" x14ac:dyDescent="0.2">
      <c r="GE4195"/>
      <c r="GF4195"/>
      <c r="GG4195"/>
      <c r="GH4195"/>
    </row>
    <row r="4196" spans="187:190" s="1" customFormat="1" ht="18" customHeight="1" x14ac:dyDescent="0.2">
      <c r="GE4196"/>
      <c r="GF4196"/>
      <c r="GG4196"/>
      <c r="GH4196"/>
    </row>
    <row r="4197" spans="187:190" s="1" customFormat="1" ht="18" customHeight="1" x14ac:dyDescent="0.2">
      <c r="GE4197"/>
      <c r="GF4197"/>
      <c r="GG4197"/>
      <c r="GH4197"/>
    </row>
    <row r="4198" spans="187:190" s="1" customFormat="1" ht="18" customHeight="1" x14ac:dyDescent="0.2">
      <c r="GE4198"/>
      <c r="GF4198"/>
      <c r="GG4198"/>
      <c r="GH4198"/>
    </row>
    <row r="4199" spans="187:190" s="1" customFormat="1" ht="18" customHeight="1" x14ac:dyDescent="0.2">
      <c r="GE4199"/>
      <c r="GF4199"/>
      <c r="GG4199"/>
      <c r="GH4199"/>
    </row>
    <row r="4200" spans="187:190" s="1" customFormat="1" ht="18" customHeight="1" x14ac:dyDescent="0.2">
      <c r="GE4200"/>
      <c r="GF4200"/>
      <c r="GG4200"/>
      <c r="GH4200"/>
    </row>
    <row r="4201" spans="187:190" s="1" customFormat="1" ht="18" customHeight="1" x14ac:dyDescent="0.2">
      <c r="GE4201"/>
      <c r="GF4201"/>
      <c r="GG4201"/>
      <c r="GH4201"/>
    </row>
    <row r="4202" spans="187:190" s="1" customFormat="1" ht="18" customHeight="1" x14ac:dyDescent="0.2">
      <c r="GE4202"/>
      <c r="GF4202"/>
      <c r="GG4202"/>
      <c r="GH4202"/>
    </row>
    <row r="4203" spans="187:190" s="1" customFormat="1" ht="18" customHeight="1" x14ac:dyDescent="0.2">
      <c r="GE4203"/>
      <c r="GF4203"/>
      <c r="GG4203"/>
      <c r="GH4203"/>
    </row>
    <row r="4204" spans="187:190" s="1" customFormat="1" ht="18" customHeight="1" x14ac:dyDescent="0.2">
      <c r="GE4204"/>
      <c r="GF4204"/>
      <c r="GG4204"/>
      <c r="GH4204"/>
    </row>
    <row r="4205" spans="187:190" s="1" customFormat="1" ht="18" customHeight="1" x14ac:dyDescent="0.2">
      <c r="GE4205"/>
      <c r="GF4205"/>
      <c r="GG4205"/>
      <c r="GH4205"/>
    </row>
    <row r="4206" spans="187:190" s="1" customFormat="1" ht="18" customHeight="1" x14ac:dyDescent="0.2">
      <c r="GE4206"/>
      <c r="GF4206"/>
      <c r="GG4206"/>
      <c r="GH4206"/>
    </row>
    <row r="4207" spans="187:190" s="1" customFormat="1" ht="18" customHeight="1" x14ac:dyDescent="0.2">
      <c r="GE4207"/>
      <c r="GF4207"/>
      <c r="GG4207"/>
      <c r="GH4207"/>
    </row>
    <row r="4208" spans="187:190" s="1" customFormat="1" ht="18" customHeight="1" x14ac:dyDescent="0.2">
      <c r="GE4208"/>
      <c r="GF4208"/>
      <c r="GG4208"/>
      <c r="GH4208"/>
    </row>
    <row r="4209" spans="187:190" s="1" customFormat="1" ht="18" customHeight="1" x14ac:dyDescent="0.2">
      <c r="GE4209"/>
      <c r="GF4209"/>
      <c r="GG4209"/>
      <c r="GH4209"/>
    </row>
    <row r="4210" spans="187:190" s="1" customFormat="1" ht="18" customHeight="1" x14ac:dyDescent="0.2">
      <c r="GE4210"/>
      <c r="GF4210"/>
      <c r="GG4210"/>
      <c r="GH4210"/>
    </row>
    <row r="4211" spans="187:190" s="1" customFormat="1" ht="18" customHeight="1" x14ac:dyDescent="0.2">
      <c r="GE4211"/>
      <c r="GF4211"/>
      <c r="GG4211"/>
      <c r="GH4211"/>
    </row>
    <row r="4212" spans="187:190" s="1" customFormat="1" ht="18" customHeight="1" x14ac:dyDescent="0.2">
      <c r="GE4212"/>
      <c r="GF4212"/>
      <c r="GG4212"/>
      <c r="GH4212"/>
    </row>
    <row r="4213" spans="187:190" s="1" customFormat="1" ht="18" customHeight="1" x14ac:dyDescent="0.2">
      <c r="GE4213"/>
      <c r="GF4213"/>
      <c r="GG4213"/>
      <c r="GH4213"/>
    </row>
    <row r="4214" spans="187:190" s="1" customFormat="1" ht="18" customHeight="1" x14ac:dyDescent="0.2">
      <c r="GE4214"/>
      <c r="GF4214"/>
      <c r="GG4214"/>
      <c r="GH4214"/>
    </row>
    <row r="4215" spans="187:190" s="1" customFormat="1" ht="18" customHeight="1" x14ac:dyDescent="0.2">
      <c r="GE4215"/>
      <c r="GF4215"/>
      <c r="GG4215"/>
      <c r="GH4215"/>
    </row>
    <row r="4216" spans="187:190" s="1" customFormat="1" ht="18" customHeight="1" x14ac:dyDescent="0.2">
      <c r="GE4216"/>
      <c r="GF4216"/>
      <c r="GG4216"/>
      <c r="GH4216"/>
    </row>
    <row r="4217" spans="187:190" s="1" customFormat="1" ht="18" customHeight="1" x14ac:dyDescent="0.2">
      <c r="GE4217"/>
      <c r="GF4217"/>
      <c r="GG4217"/>
      <c r="GH4217"/>
    </row>
    <row r="4218" spans="187:190" s="1" customFormat="1" ht="18" customHeight="1" x14ac:dyDescent="0.2">
      <c r="GE4218"/>
      <c r="GF4218"/>
      <c r="GG4218"/>
      <c r="GH4218"/>
    </row>
    <row r="4219" spans="187:190" s="1" customFormat="1" ht="18" customHeight="1" x14ac:dyDescent="0.2">
      <c r="GE4219"/>
      <c r="GF4219"/>
      <c r="GG4219"/>
      <c r="GH4219"/>
    </row>
    <row r="4220" spans="187:190" s="1" customFormat="1" ht="18" customHeight="1" x14ac:dyDescent="0.2">
      <c r="GE4220"/>
      <c r="GF4220"/>
      <c r="GG4220"/>
      <c r="GH4220"/>
    </row>
    <row r="4221" spans="187:190" s="1" customFormat="1" ht="18" customHeight="1" x14ac:dyDescent="0.2">
      <c r="GE4221"/>
      <c r="GF4221"/>
      <c r="GG4221"/>
      <c r="GH4221"/>
    </row>
    <row r="4222" spans="187:190" s="1" customFormat="1" ht="18" customHeight="1" x14ac:dyDescent="0.2">
      <c r="GE4222"/>
      <c r="GF4222"/>
      <c r="GG4222"/>
      <c r="GH4222"/>
    </row>
    <row r="4223" spans="187:190" s="1" customFormat="1" ht="18" customHeight="1" x14ac:dyDescent="0.2">
      <c r="GE4223"/>
      <c r="GF4223"/>
      <c r="GG4223"/>
      <c r="GH4223"/>
    </row>
    <row r="4224" spans="187:190" s="1" customFormat="1" ht="18" customHeight="1" x14ac:dyDescent="0.2">
      <c r="GE4224"/>
      <c r="GF4224"/>
      <c r="GG4224"/>
      <c r="GH4224"/>
    </row>
    <row r="4225" spans="187:190" s="1" customFormat="1" ht="18" customHeight="1" x14ac:dyDescent="0.2">
      <c r="GE4225"/>
      <c r="GF4225"/>
      <c r="GG4225"/>
      <c r="GH4225"/>
    </row>
    <row r="4226" spans="187:190" s="1" customFormat="1" ht="18" customHeight="1" x14ac:dyDescent="0.2">
      <c r="GE4226"/>
      <c r="GF4226"/>
      <c r="GG4226"/>
      <c r="GH4226"/>
    </row>
    <row r="4227" spans="187:190" s="1" customFormat="1" ht="18" customHeight="1" x14ac:dyDescent="0.2">
      <c r="GE4227"/>
      <c r="GF4227"/>
      <c r="GG4227"/>
      <c r="GH4227"/>
    </row>
    <row r="4228" spans="187:190" s="1" customFormat="1" ht="18" customHeight="1" x14ac:dyDescent="0.2">
      <c r="GE4228"/>
      <c r="GF4228"/>
      <c r="GG4228"/>
      <c r="GH4228"/>
    </row>
    <row r="4229" spans="187:190" s="1" customFormat="1" ht="18" customHeight="1" x14ac:dyDescent="0.2">
      <c r="GE4229"/>
      <c r="GF4229"/>
      <c r="GG4229"/>
      <c r="GH4229"/>
    </row>
    <row r="4230" spans="187:190" s="1" customFormat="1" ht="18" customHeight="1" x14ac:dyDescent="0.2">
      <c r="GE4230"/>
      <c r="GF4230"/>
      <c r="GG4230"/>
      <c r="GH4230"/>
    </row>
    <row r="4231" spans="187:190" s="1" customFormat="1" ht="18" customHeight="1" x14ac:dyDescent="0.2">
      <c r="GE4231"/>
      <c r="GF4231"/>
      <c r="GG4231"/>
      <c r="GH4231"/>
    </row>
    <row r="4232" spans="187:190" s="1" customFormat="1" ht="18" customHeight="1" x14ac:dyDescent="0.2">
      <c r="GE4232"/>
      <c r="GF4232"/>
      <c r="GG4232"/>
      <c r="GH4232"/>
    </row>
    <row r="4233" spans="187:190" s="1" customFormat="1" ht="18" customHeight="1" x14ac:dyDescent="0.2">
      <c r="GE4233"/>
      <c r="GF4233"/>
      <c r="GG4233"/>
      <c r="GH4233"/>
    </row>
    <row r="4234" spans="187:190" s="1" customFormat="1" ht="18" customHeight="1" x14ac:dyDescent="0.2">
      <c r="GE4234"/>
      <c r="GF4234"/>
      <c r="GG4234"/>
      <c r="GH4234"/>
    </row>
    <row r="4235" spans="187:190" s="1" customFormat="1" ht="18" customHeight="1" x14ac:dyDescent="0.2">
      <c r="GE4235"/>
      <c r="GF4235"/>
      <c r="GG4235"/>
      <c r="GH4235"/>
    </row>
    <row r="4236" spans="187:190" s="1" customFormat="1" ht="18" customHeight="1" x14ac:dyDescent="0.2">
      <c r="GE4236"/>
      <c r="GF4236"/>
      <c r="GG4236"/>
      <c r="GH4236"/>
    </row>
    <row r="4237" spans="187:190" s="1" customFormat="1" ht="18" customHeight="1" x14ac:dyDescent="0.2">
      <c r="GE4237"/>
      <c r="GF4237"/>
      <c r="GG4237"/>
      <c r="GH4237"/>
    </row>
    <row r="4238" spans="187:190" s="1" customFormat="1" ht="18" customHeight="1" x14ac:dyDescent="0.2">
      <c r="GE4238"/>
      <c r="GF4238"/>
      <c r="GG4238"/>
      <c r="GH4238"/>
    </row>
    <row r="4239" spans="187:190" s="1" customFormat="1" ht="18" customHeight="1" x14ac:dyDescent="0.2">
      <c r="GE4239"/>
      <c r="GF4239"/>
      <c r="GG4239"/>
      <c r="GH4239"/>
    </row>
    <row r="4240" spans="187:190" s="1" customFormat="1" ht="18" customHeight="1" x14ac:dyDescent="0.2">
      <c r="GE4240"/>
      <c r="GF4240"/>
      <c r="GG4240"/>
      <c r="GH4240"/>
    </row>
    <row r="4241" spans="187:190" s="1" customFormat="1" ht="18" customHeight="1" x14ac:dyDescent="0.2">
      <c r="GE4241"/>
      <c r="GF4241"/>
      <c r="GG4241"/>
      <c r="GH4241"/>
    </row>
    <row r="4242" spans="187:190" s="1" customFormat="1" ht="18" customHeight="1" x14ac:dyDescent="0.2">
      <c r="GE4242"/>
      <c r="GF4242"/>
      <c r="GG4242"/>
      <c r="GH4242"/>
    </row>
    <row r="4243" spans="187:190" s="1" customFormat="1" ht="18" customHeight="1" x14ac:dyDescent="0.2">
      <c r="GE4243"/>
      <c r="GF4243"/>
      <c r="GG4243"/>
      <c r="GH4243"/>
    </row>
    <row r="4244" spans="187:190" s="1" customFormat="1" ht="18" customHeight="1" x14ac:dyDescent="0.2">
      <c r="GE4244"/>
      <c r="GF4244"/>
      <c r="GG4244"/>
      <c r="GH4244"/>
    </row>
    <row r="4245" spans="187:190" s="1" customFormat="1" ht="18" customHeight="1" x14ac:dyDescent="0.2">
      <c r="GE4245"/>
      <c r="GF4245"/>
      <c r="GG4245"/>
      <c r="GH4245"/>
    </row>
    <row r="4246" spans="187:190" s="1" customFormat="1" ht="18" customHeight="1" x14ac:dyDescent="0.2">
      <c r="GE4246"/>
      <c r="GF4246"/>
      <c r="GG4246"/>
      <c r="GH4246"/>
    </row>
    <row r="4247" spans="187:190" s="1" customFormat="1" ht="18" customHeight="1" x14ac:dyDescent="0.2">
      <c r="GE4247"/>
      <c r="GF4247"/>
      <c r="GG4247"/>
      <c r="GH4247"/>
    </row>
    <row r="4248" spans="187:190" s="1" customFormat="1" ht="18" customHeight="1" x14ac:dyDescent="0.2">
      <c r="GE4248"/>
      <c r="GF4248"/>
      <c r="GG4248"/>
      <c r="GH4248"/>
    </row>
    <row r="4249" spans="187:190" s="1" customFormat="1" ht="18" customHeight="1" x14ac:dyDescent="0.2">
      <c r="GE4249"/>
      <c r="GF4249"/>
      <c r="GG4249"/>
      <c r="GH4249"/>
    </row>
    <row r="4250" spans="187:190" s="1" customFormat="1" ht="18" customHeight="1" x14ac:dyDescent="0.2">
      <c r="GE4250"/>
      <c r="GF4250"/>
      <c r="GG4250"/>
      <c r="GH4250"/>
    </row>
    <row r="4251" spans="187:190" s="1" customFormat="1" ht="18" customHeight="1" x14ac:dyDescent="0.2">
      <c r="GE4251"/>
      <c r="GF4251"/>
      <c r="GG4251"/>
      <c r="GH4251"/>
    </row>
    <row r="4252" spans="187:190" s="1" customFormat="1" ht="18" customHeight="1" x14ac:dyDescent="0.2">
      <c r="GE4252"/>
      <c r="GF4252"/>
      <c r="GG4252"/>
      <c r="GH4252"/>
    </row>
    <row r="4253" spans="187:190" s="1" customFormat="1" ht="18" customHeight="1" x14ac:dyDescent="0.2">
      <c r="GE4253"/>
      <c r="GF4253"/>
      <c r="GG4253"/>
      <c r="GH4253"/>
    </row>
    <row r="4254" spans="187:190" s="1" customFormat="1" ht="18" customHeight="1" x14ac:dyDescent="0.2">
      <c r="GE4254"/>
      <c r="GF4254"/>
      <c r="GG4254"/>
      <c r="GH4254"/>
    </row>
    <row r="4255" spans="187:190" s="1" customFormat="1" ht="18" customHeight="1" x14ac:dyDescent="0.2">
      <c r="GE4255"/>
      <c r="GF4255"/>
      <c r="GG4255"/>
      <c r="GH4255"/>
    </row>
    <row r="4256" spans="187:190" s="1" customFormat="1" ht="18" customHeight="1" x14ac:dyDescent="0.2">
      <c r="GE4256"/>
      <c r="GF4256"/>
      <c r="GG4256"/>
      <c r="GH4256"/>
    </row>
    <row r="4257" spans="187:190" s="1" customFormat="1" ht="18" customHeight="1" x14ac:dyDescent="0.2">
      <c r="GE4257"/>
      <c r="GF4257"/>
      <c r="GG4257"/>
      <c r="GH4257"/>
    </row>
    <row r="4258" spans="187:190" s="1" customFormat="1" ht="18" customHeight="1" x14ac:dyDescent="0.2">
      <c r="GE4258"/>
      <c r="GF4258"/>
      <c r="GG4258"/>
      <c r="GH4258"/>
    </row>
    <row r="4259" spans="187:190" s="1" customFormat="1" ht="18" customHeight="1" x14ac:dyDescent="0.2">
      <c r="GE4259"/>
      <c r="GF4259"/>
      <c r="GG4259"/>
      <c r="GH4259"/>
    </row>
    <row r="4260" spans="187:190" s="1" customFormat="1" ht="18" customHeight="1" x14ac:dyDescent="0.2">
      <c r="GE4260"/>
      <c r="GF4260"/>
      <c r="GG4260"/>
      <c r="GH4260"/>
    </row>
    <row r="4261" spans="187:190" s="1" customFormat="1" ht="18" customHeight="1" x14ac:dyDescent="0.2">
      <c r="GE4261"/>
      <c r="GF4261"/>
      <c r="GG4261"/>
      <c r="GH4261"/>
    </row>
    <row r="4262" spans="187:190" s="1" customFormat="1" ht="18" customHeight="1" x14ac:dyDescent="0.2">
      <c r="GE4262"/>
      <c r="GF4262"/>
      <c r="GG4262"/>
      <c r="GH4262"/>
    </row>
    <row r="4263" spans="187:190" s="1" customFormat="1" ht="18" customHeight="1" x14ac:dyDescent="0.2">
      <c r="GE4263"/>
      <c r="GF4263"/>
      <c r="GG4263"/>
      <c r="GH4263"/>
    </row>
    <row r="4264" spans="187:190" s="1" customFormat="1" ht="18" customHeight="1" x14ac:dyDescent="0.2">
      <c r="GE4264"/>
      <c r="GF4264"/>
      <c r="GG4264"/>
      <c r="GH4264"/>
    </row>
    <row r="4265" spans="187:190" s="1" customFormat="1" ht="18" customHeight="1" x14ac:dyDescent="0.2">
      <c r="GE4265"/>
      <c r="GF4265"/>
      <c r="GG4265"/>
      <c r="GH4265"/>
    </row>
    <row r="4266" spans="187:190" s="1" customFormat="1" ht="18" customHeight="1" x14ac:dyDescent="0.2">
      <c r="GE4266"/>
      <c r="GF4266"/>
      <c r="GG4266"/>
      <c r="GH4266"/>
    </row>
    <row r="4267" spans="187:190" s="1" customFormat="1" ht="18" customHeight="1" x14ac:dyDescent="0.2">
      <c r="GE4267"/>
      <c r="GF4267"/>
      <c r="GG4267"/>
      <c r="GH4267"/>
    </row>
    <row r="4268" spans="187:190" s="1" customFormat="1" ht="18" customHeight="1" x14ac:dyDescent="0.2">
      <c r="GE4268"/>
      <c r="GF4268"/>
      <c r="GG4268"/>
      <c r="GH4268"/>
    </row>
    <row r="4269" spans="187:190" s="1" customFormat="1" ht="18" customHeight="1" x14ac:dyDescent="0.2">
      <c r="GE4269"/>
      <c r="GF4269"/>
      <c r="GG4269"/>
      <c r="GH4269"/>
    </row>
    <row r="4270" spans="187:190" s="1" customFormat="1" ht="18" customHeight="1" x14ac:dyDescent="0.2">
      <c r="GE4270"/>
      <c r="GF4270"/>
      <c r="GG4270"/>
      <c r="GH4270"/>
    </row>
    <row r="4271" spans="187:190" s="1" customFormat="1" ht="18" customHeight="1" x14ac:dyDescent="0.2">
      <c r="GE4271"/>
      <c r="GF4271"/>
      <c r="GG4271"/>
      <c r="GH4271"/>
    </row>
    <row r="4272" spans="187:190" s="1" customFormat="1" ht="18" customHeight="1" x14ac:dyDescent="0.2">
      <c r="GE4272"/>
      <c r="GF4272"/>
      <c r="GG4272"/>
      <c r="GH4272"/>
    </row>
    <row r="4273" spans="187:190" s="1" customFormat="1" ht="18" customHeight="1" x14ac:dyDescent="0.2">
      <c r="GE4273"/>
      <c r="GF4273"/>
      <c r="GG4273"/>
      <c r="GH4273"/>
    </row>
    <row r="4274" spans="187:190" s="1" customFormat="1" ht="18" customHeight="1" x14ac:dyDescent="0.2">
      <c r="GE4274"/>
      <c r="GF4274"/>
      <c r="GG4274"/>
      <c r="GH4274"/>
    </row>
    <row r="4275" spans="187:190" s="1" customFormat="1" ht="18" customHeight="1" x14ac:dyDescent="0.2">
      <c r="GE4275"/>
      <c r="GF4275"/>
      <c r="GG4275"/>
      <c r="GH4275"/>
    </row>
    <row r="4276" spans="187:190" s="1" customFormat="1" ht="18" customHeight="1" x14ac:dyDescent="0.2">
      <c r="GE4276"/>
      <c r="GF4276"/>
      <c r="GG4276"/>
      <c r="GH4276"/>
    </row>
    <row r="4277" spans="187:190" s="1" customFormat="1" ht="18" customHeight="1" x14ac:dyDescent="0.2">
      <c r="GE4277"/>
      <c r="GF4277"/>
      <c r="GG4277"/>
      <c r="GH4277"/>
    </row>
    <row r="4278" spans="187:190" s="1" customFormat="1" ht="18" customHeight="1" x14ac:dyDescent="0.2">
      <c r="GE4278"/>
      <c r="GF4278"/>
      <c r="GG4278"/>
      <c r="GH4278"/>
    </row>
    <row r="4279" spans="187:190" s="1" customFormat="1" ht="18" customHeight="1" x14ac:dyDescent="0.2">
      <c r="GE4279"/>
      <c r="GF4279"/>
      <c r="GG4279"/>
      <c r="GH4279"/>
    </row>
    <row r="4280" spans="187:190" s="1" customFormat="1" ht="18" customHeight="1" x14ac:dyDescent="0.2">
      <c r="GE4280"/>
      <c r="GF4280"/>
      <c r="GG4280"/>
      <c r="GH4280"/>
    </row>
    <row r="4281" spans="187:190" s="1" customFormat="1" ht="18" customHeight="1" x14ac:dyDescent="0.2">
      <c r="GE4281"/>
      <c r="GF4281"/>
      <c r="GG4281"/>
      <c r="GH4281"/>
    </row>
    <row r="4282" spans="187:190" s="1" customFormat="1" ht="18" customHeight="1" x14ac:dyDescent="0.2">
      <c r="GE4282"/>
      <c r="GF4282"/>
      <c r="GG4282"/>
      <c r="GH4282"/>
    </row>
    <row r="4283" spans="187:190" s="1" customFormat="1" ht="18" customHeight="1" x14ac:dyDescent="0.2">
      <c r="GE4283"/>
      <c r="GF4283"/>
      <c r="GG4283"/>
      <c r="GH4283"/>
    </row>
    <row r="4284" spans="187:190" s="1" customFormat="1" ht="18" customHeight="1" x14ac:dyDescent="0.2">
      <c r="GE4284"/>
      <c r="GF4284"/>
      <c r="GG4284"/>
      <c r="GH4284"/>
    </row>
    <row r="4285" spans="187:190" s="1" customFormat="1" ht="18" customHeight="1" x14ac:dyDescent="0.2">
      <c r="GE4285"/>
      <c r="GF4285"/>
      <c r="GG4285"/>
      <c r="GH4285"/>
    </row>
    <row r="4286" spans="187:190" s="1" customFormat="1" ht="18" customHeight="1" x14ac:dyDescent="0.2">
      <c r="GE4286"/>
      <c r="GF4286"/>
      <c r="GG4286"/>
      <c r="GH4286"/>
    </row>
    <row r="4287" spans="187:190" s="1" customFormat="1" ht="18" customHeight="1" x14ac:dyDescent="0.2">
      <c r="GE4287"/>
      <c r="GF4287"/>
      <c r="GG4287"/>
      <c r="GH4287"/>
    </row>
    <row r="4288" spans="187:190" s="1" customFormat="1" ht="18" customHeight="1" x14ac:dyDescent="0.2">
      <c r="GE4288"/>
      <c r="GF4288"/>
      <c r="GG4288"/>
      <c r="GH4288"/>
    </row>
    <row r="4289" spans="187:190" s="1" customFormat="1" ht="18" customHeight="1" x14ac:dyDescent="0.2">
      <c r="GE4289"/>
      <c r="GF4289"/>
      <c r="GG4289"/>
      <c r="GH4289"/>
    </row>
    <row r="4290" spans="187:190" s="1" customFormat="1" ht="18" customHeight="1" x14ac:dyDescent="0.2">
      <c r="GE4290"/>
      <c r="GF4290"/>
      <c r="GG4290"/>
      <c r="GH4290"/>
    </row>
    <row r="4291" spans="187:190" s="1" customFormat="1" ht="18" customHeight="1" x14ac:dyDescent="0.2">
      <c r="GE4291"/>
      <c r="GF4291"/>
      <c r="GG4291"/>
      <c r="GH4291"/>
    </row>
    <row r="4292" spans="187:190" s="1" customFormat="1" ht="18" customHeight="1" x14ac:dyDescent="0.2">
      <c r="GE4292"/>
      <c r="GF4292"/>
      <c r="GG4292"/>
      <c r="GH4292"/>
    </row>
    <row r="4293" spans="187:190" s="1" customFormat="1" ht="18" customHeight="1" x14ac:dyDescent="0.2">
      <c r="GE4293"/>
      <c r="GF4293"/>
      <c r="GG4293"/>
      <c r="GH4293"/>
    </row>
    <row r="4294" spans="187:190" s="1" customFormat="1" ht="18" customHeight="1" x14ac:dyDescent="0.2">
      <c r="GE4294"/>
      <c r="GF4294"/>
      <c r="GG4294"/>
      <c r="GH4294"/>
    </row>
    <row r="4295" spans="187:190" s="1" customFormat="1" ht="18" customHeight="1" x14ac:dyDescent="0.2">
      <c r="GE4295"/>
      <c r="GF4295"/>
      <c r="GG4295"/>
      <c r="GH4295"/>
    </row>
    <row r="4296" spans="187:190" s="1" customFormat="1" ht="18" customHeight="1" x14ac:dyDescent="0.2">
      <c r="GE4296"/>
      <c r="GF4296"/>
      <c r="GG4296"/>
      <c r="GH4296"/>
    </row>
    <row r="4297" spans="187:190" s="1" customFormat="1" ht="18" customHeight="1" x14ac:dyDescent="0.2">
      <c r="GE4297"/>
      <c r="GF4297"/>
      <c r="GG4297"/>
      <c r="GH4297"/>
    </row>
    <row r="4298" spans="187:190" s="1" customFormat="1" ht="18" customHeight="1" x14ac:dyDescent="0.2">
      <c r="GE4298"/>
      <c r="GF4298"/>
      <c r="GG4298"/>
      <c r="GH4298"/>
    </row>
    <row r="4299" spans="187:190" s="1" customFormat="1" ht="18" customHeight="1" x14ac:dyDescent="0.2">
      <c r="GE4299"/>
      <c r="GF4299"/>
      <c r="GG4299"/>
      <c r="GH4299"/>
    </row>
    <row r="4300" spans="187:190" s="1" customFormat="1" ht="18" customHeight="1" x14ac:dyDescent="0.2">
      <c r="GE4300"/>
      <c r="GF4300"/>
      <c r="GG4300"/>
      <c r="GH4300"/>
    </row>
    <row r="4301" spans="187:190" s="1" customFormat="1" ht="18" customHeight="1" x14ac:dyDescent="0.2">
      <c r="GE4301"/>
      <c r="GF4301"/>
      <c r="GG4301"/>
      <c r="GH4301"/>
    </row>
    <row r="4302" spans="187:190" s="1" customFormat="1" ht="18" customHeight="1" x14ac:dyDescent="0.2">
      <c r="GE4302"/>
      <c r="GF4302"/>
      <c r="GG4302"/>
      <c r="GH4302"/>
    </row>
    <row r="4303" spans="187:190" s="1" customFormat="1" ht="18" customHeight="1" x14ac:dyDescent="0.2">
      <c r="GE4303"/>
      <c r="GF4303"/>
      <c r="GG4303"/>
      <c r="GH4303"/>
    </row>
    <row r="4304" spans="187:190" s="1" customFormat="1" ht="18" customHeight="1" x14ac:dyDescent="0.2">
      <c r="GE4304"/>
      <c r="GF4304"/>
      <c r="GG4304"/>
      <c r="GH4304"/>
    </row>
    <row r="4305" spans="187:190" s="1" customFormat="1" ht="18" customHeight="1" x14ac:dyDescent="0.2">
      <c r="GE4305"/>
      <c r="GF4305"/>
      <c r="GG4305"/>
      <c r="GH4305"/>
    </row>
    <row r="4306" spans="187:190" s="1" customFormat="1" ht="18" customHeight="1" x14ac:dyDescent="0.2">
      <c r="GE4306"/>
      <c r="GF4306"/>
      <c r="GG4306"/>
      <c r="GH4306"/>
    </row>
    <row r="4307" spans="187:190" s="1" customFormat="1" ht="18" customHeight="1" x14ac:dyDescent="0.2">
      <c r="GE4307"/>
      <c r="GF4307"/>
      <c r="GG4307"/>
      <c r="GH4307"/>
    </row>
    <row r="4308" spans="187:190" s="1" customFormat="1" ht="18" customHeight="1" x14ac:dyDescent="0.2">
      <c r="GE4308"/>
      <c r="GF4308"/>
      <c r="GG4308"/>
      <c r="GH4308"/>
    </row>
    <row r="4309" spans="187:190" s="1" customFormat="1" ht="18" customHeight="1" x14ac:dyDescent="0.2">
      <c r="GE4309"/>
      <c r="GF4309"/>
      <c r="GG4309"/>
      <c r="GH4309"/>
    </row>
    <row r="4310" spans="187:190" s="1" customFormat="1" ht="18" customHeight="1" x14ac:dyDescent="0.2">
      <c r="GE4310"/>
      <c r="GF4310"/>
      <c r="GG4310"/>
      <c r="GH4310"/>
    </row>
    <row r="4311" spans="187:190" s="1" customFormat="1" ht="18" customHeight="1" x14ac:dyDescent="0.2">
      <c r="GE4311"/>
      <c r="GF4311"/>
      <c r="GG4311"/>
      <c r="GH4311"/>
    </row>
    <row r="4312" spans="187:190" s="1" customFormat="1" ht="18" customHeight="1" x14ac:dyDescent="0.2">
      <c r="GE4312"/>
      <c r="GF4312"/>
      <c r="GG4312"/>
      <c r="GH4312"/>
    </row>
    <row r="4313" spans="187:190" s="1" customFormat="1" ht="18" customHeight="1" x14ac:dyDescent="0.2">
      <c r="GE4313"/>
      <c r="GF4313"/>
      <c r="GG4313"/>
      <c r="GH4313"/>
    </row>
    <row r="4314" spans="187:190" s="1" customFormat="1" ht="18" customHeight="1" x14ac:dyDescent="0.2">
      <c r="GE4314"/>
      <c r="GF4314"/>
      <c r="GG4314"/>
      <c r="GH4314"/>
    </row>
    <row r="4315" spans="187:190" s="1" customFormat="1" ht="18" customHeight="1" x14ac:dyDescent="0.2">
      <c r="GE4315"/>
      <c r="GF4315"/>
      <c r="GG4315"/>
      <c r="GH4315"/>
    </row>
    <row r="4316" spans="187:190" s="1" customFormat="1" ht="18" customHeight="1" x14ac:dyDescent="0.2">
      <c r="GE4316"/>
      <c r="GF4316"/>
      <c r="GG4316"/>
      <c r="GH4316"/>
    </row>
    <row r="4317" spans="187:190" s="1" customFormat="1" ht="18" customHeight="1" x14ac:dyDescent="0.2">
      <c r="GE4317"/>
      <c r="GF4317"/>
      <c r="GG4317"/>
      <c r="GH4317"/>
    </row>
    <row r="4318" spans="187:190" s="1" customFormat="1" ht="18" customHeight="1" x14ac:dyDescent="0.2">
      <c r="GE4318"/>
      <c r="GF4318"/>
      <c r="GG4318"/>
      <c r="GH4318"/>
    </row>
    <row r="4319" spans="187:190" s="1" customFormat="1" ht="18" customHeight="1" x14ac:dyDescent="0.2">
      <c r="GE4319"/>
      <c r="GF4319"/>
      <c r="GG4319"/>
      <c r="GH4319"/>
    </row>
    <row r="4320" spans="187:190" s="1" customFormat="1" ht="18" customHeight="1" x14ac:dyDescent="0.2">
      <c r="GE4320"/>
      <c r="GF4320"/>
      <c r="GG4320"/>
      <c r="GH4320"/>
    </row>
    <row r="4321" spans="187:190" s="1" customFormat="1" ht="18" customHeight="1" x14ac:dyDescent="0.2">
      <c r="GE4321"/>
      <c r="GF4321"/>
      <c r="GG4321"/>
      <c r="GH4321"/>
    </row>
    <row r="4322" spans="187:190" s="1" customFormat="1" ht="18" customHeight="1" x14ac:dyDescent="0.2">
      <c r="GE4322"/>
      <c r="GF4322"/>
      <c r="GG4322"/>
      <c r="GH4322"/>
    </row>
    <row r="4323" spans="187:190" s="1" customFormat="1" ht="18" customHeight="1" x14ac:dyDescent="0.2">
      <c r="GE4323"/>
      <c r="GF4323"/>
      <c r="GG4323"/>
      <c r="GH4323"/>
    </row>
    <row r="4324" spans="187:190" s="1" customFormat="1" ht="18" customHeight="1" x14ac:dyDescent="0.2">
      <c r="GE4324"/>
      <c r="GF4324"/>
      <c r="GG4324"/>
      <c r="GH4324"/>
    </row>
    <row r="4325" spans="187:190" s="1" customFormat="1" ht="18" customHeight="1" x14ac:dyDescent="0.2">
      <c r="GE4325"/>
      <c r="GF4325"/>
      <c r="GG4325"/>
      <c r="GH4325"/>
    </row>
    <row r="4326" spans="187:190" s="1" customFormat="1" ht="18" customHeight="1" x14ac:dyDescent="0.2">
      <c r="GE4326"/>
      <c r="GF4326"/>
      <c r="GG4326"/>
      <c r="GH4326"/>
    </row>
    <row r="4327" spans="187:190" s="1" customFormat="1" ht="18" customHeight="1" x14ac:dyDescent="0.2">
      <c r="GE4327"/>
      <c r="GF4327"/>
      <c r="GG4327"/>
      <c r="GH4327"/>
    </row>
    <row r="4328" spans="187:190" s="1" customFormat="1" ht="18" customHeight="1" x14ac:dyDescent="0.2">
      <c r="GE4328"/>
      <c r="GF4328"/>
      <c r="GG4328"/>
      <c r="GH4328"/>
    </row>
    <row r="4329" spans="187:190" s="1" customFormat="1" ht="18" customHeight="1" x14ac:dyDescent="0.2">
      <c r="GE4329"/>
      <c r="GF4329"/>
      <c r="GG4329"/>
      <c r="GH4329"/>
    </row>
    <row r="4330" spans="187:190" s="1" customFormat="1" ht="18" customHeight="1" x14ac:dyDescent="0.2">
      <c r="GE4330"/>
      <c r="GF4330"/>
      <c r="GG4330"/>
      <c r="GH4330"/>
    </row>
    <row r="4331" spans="187:190" s="1" customFormat="1" ht="18" customHeight="1" x14ac:dyDescent="0.2">
      <c r="GE4331"/>
      <c r="GF4331"/>
      <c r="GG4331"/>
      <c r="GH4331"/>
    </row>
    <row r="4332" spans="187:190" s="1" customFormat="1" ht="18" customHeight="1" x14ac:dyDescent="0.2">
      <c r="GE4332"/>
      <c r="GF4332"/>
      <c r="GG4332"/>
      <c r="GH4332"/>
    </row>
    <row r="4333" spans="187:190" s="1" customFormat="1" ht="18" customHeight="1" x14ac:dyDescent="0.2">
      <c r="GE4333"/>
      <c r="GF4333"/>
      <c r="GG4333"/>
      <c r="GH4333"/>
    </row>
    <row r="4334" spans="187:190" s="1" customFormat="1" ht="18" customHeight="1" x14ac:dyDescent="0.2">
      <c r="GE4334"/>
      <c r="GF4334"/>
      <c r="GG4334"/>
      <c r="GH4334"/>
    </row>
    <row r="4335" spans="187:190" s="1" customFormat="1" ht="18" customHeight="1" x14ac:dyDescent="0.2">
      <c r="GE4335"/>
      <c r="GF4335"/>
      <c r="GG4335"/>
      <c r="GH4335"/>
    </row>
    <row r="4336" spans="187:190" s="1" customFormat="1" ht="18" customHeight="1" x14ac:dyDescent="0.2">
      <c r="GE4336"/>
      <c r="GF4336"/>
      <c r="GG4336"/>
      <c r="GH4336"/>
    </row>
    <row r="4337" spans="187:190" s="1" customFormat="1" ht="18" customHeight="1" x14ac:dyDescent="0.2">
      <c r="GE4337"/>
      <c r="GF4337"/>
      <c r="GG4337"/>
      <c r="GH4337"/>
    </row>
    <row r="4338" spans="187:190" s="1" customFormat="1" ht="18" customHeight="1" x14ac:dyDescent="0.2">
      <c r="GE4338"/>
      <c r="GF4338"/>
      <c r="GG4338"/>
      <c r="GH4338"/>
    </row>
    <row r="4339" spans="187:190" s="1" customFormat="1" ht="18" customHeight="1" x14ac:dyDescent="0.2">
      <c r="GE4339"/>
      <c r="GF4339"/>
      <c r="GG4339"/>
      <c r="GH4339"/>
    </row>
    <row r="4340" spans="187:190" s="1" customFormat="1" ht="18" customHeight="1" x14ac:dyDescent="0.2">
      <c r="GE4340"/>
      <c r="GF4340"/>
      <c r="GG4340"/>
      <c r="GH4340"/>
    </row>
    <row r="4341" spans="187:190" s="1" customFormat="1" ht="18" customHeight="1" x14ac:dyDescent="0.2">
      <c r="GE4341"/>
      <c r="GF4341"/>
      <c r="GG4341"/>
      <c r="GH4341"/>
    </row>
    <row r="4342" spans="187:190" s="1" customFormat="1" ht="18" customHeight="1" x14ac:dyDescent="0.2">
      <c r="GE4342"/>
      <c r="GF4342"/>
      <c r="GG4342"/>
      <c r="GH4342"/>
    </row>
    <row r="4343" spans="187:190" s="1" customFormat="1" ht="18" customHeight="1" x14ac:dyDescent="0.2">
      <c r="GE4343"/>
      <c r="GF4343"/>
      <c r="GG4343"/>
      <c r="GH4343"/>
    </row>
    <row r="4344" spans="187:190" s="1" customFormat="1" ht="18" customHeight="1" x14ac:dyDescent="0.2">
      <c r="GE4344"/>
      <c r="GF4344"/>
      <c r="GG4344"/>
      <c r="GH4344"/>
    </row>
    <row r="4345" spans="187:190" s="1" customFormat="1" ht="18" customHeight="1" x14ac:dyDescent="0.2">
      <c r="GE4345"/>
      <c r="GF4345"/>
      <c r="GG4345"/>
      <c r="GH4345"/>
    </row>
    <row r="4346" spans="187:190" s="1" customFormat="1" ht="18" customHeight="1" x14ac:dyDescent="0.2">
      <c r="GE4346"/>
      <c r="GF4346"/>
      <c r="GG4346"/>
      <c r="GH4346"/>
    </row>
    <row r="4347" spans="187:190" s="1" customFormat="1" ht="18" customHeight="1" x14ac:dyDescent="0.2">
      <c r="GE4347"/>
      <c r="GF4347"/>
      <c r="GG4347"/>
      <c r="GH4347"/>
    </row>
    <row r="4348" spans="187:190" s="1" customFormat="1" ht="18" customHeight="1" x14ac:dyDescent="0.2">
      <c r="GE4348"/>
      <c r="GF4348"/>
      <c r="GG4348"/>
      <c r="GH4348"/>
    </row>
    <row r="4349" spans="187:190" s="1" customFormat="1" ht="18" customHeight="1" x14ac:dyDescent="0.2">
      <c r="GE4349"/>
      <c r="GF4349"/>
      <c r="GG4349"/>
      <c r="GH4349"/>
    </row>
    <row r="4350" spans="187:190" s="1" customFormat="1" ht="18" customHeight="1" x14ac:dyDescent="0.2">
      <c r="GE4350"/>
      <c r="GF4350"/>
      <c r="GG4350"/>
      <c r="GH4350"/>
    </row>
    <row r="4351" spans="187:190" s="1" customFormat="1" ht="18" customHeight="1" x14ac:dyDescent="0.2">
      <c r="GE4351"/>
      <c r="GF4351"/>
      <c r="GG4351"/>
      <c r="GH4351"/>
    </row>
    <row r="4352" spans="187:190" s="1" customFormat="1" ht="18" customHeight="1" x14ac:dyDescent="0.2">
      <c r="GE4352"/>
      <c r="GF4352"/>
      <c r="GG4352"/>
      <c r="GH4352"/>
    </row>
    <row r="4353" spans="187:190" s="1" customFormat="1" ht="18" customHeight="1" x14ac:dyDescent="0.2">
      <c r="GE4353"/>
      <c r="GF4353"/>
      <c r="GG4353"/>
      <c r="GH4353"/>
    </row>
    <row r="4354" spans="187:190" s="1" customFormat="1" ht="18" customHeight="1" x14ac:dyDescent="0.2">
      <c r="GE4354"/>
      <c r="GF4354"/>
      <c r="GG4354"/>
      <c r="GH4354"/>
    </row>
    <row r="4355" spans="187:190" s="1" customFormat="1" ht="18" customHeight="1" x14ac:dyDescent="0.2">
      <c r="GE4355"/>
      <c r="GF4355"/>
      <c r="GG4355"/>
      <c r="GH4355"/>
    </row>
    <row r="4356" spans="187:190" s="1" customFormat="1" ht="18" customHeight="1" x14ac:dyDescent="0.2">
      <c r="GE4356"/>
      <c r="GF4356"/>
      <c r="GG4356"/>
      <c r="GH4356"/>
    </row>
    <row r="4357" spans="187:190" s="1" customFormat="1" ht="18" customHeight="1" x14ac:dyDescent="0.2">
      <c r="GE4357"/>
      <c r="GF4357"/>
      <c r="GG4357"/>
      <c r="GH4357"/>
    </row>
    <row r="4358" spans="187:190" s="1" customFormat="1" ht="18" customHeight="1" x14ac:dyDescent="0.2">
      <c r="GE4358"/>
      <c r="GF4358"/>
      <c r="GG4358"/>
      <c r="GH4358"/>
    </row>
    <row r="4359" spans="187:190" s="1" customFormat="1" ht="18" customHeight="1" x14ac:dyDescent="0.2">
      <c r="GE4359"/>
      <c r="GF4359"/>
      <c r="GG4359"/>
      <c r="GH4359"/>
    </row>
    <row r="4360" spans="187:190" s="1" customFormat="1" ht="18" customHeight="1" x14ac:dyDescent="0.2">
      <c r="GE4360"/>
      <c r="GF4360"/>
      <c r="GG4360"/>
      <c r="GH4360"/>
    </row>
    <row r="4361" spans="187:190" s="1" customFormat="1" ht="18" customHeight="1" x14ac:dyDescent="0.2">
      <c r="GE4361"/>
      <c r="GF4361"/>
      <c r="GG4361"/>
      <c r="GH4361"/>
    </row>
    <row r="4362" spans="187:190" s="1" customFormat="1" ht="18" customHeight="1" x14ac:dyDescent="0.2">
      <c r="GE4362"/>
      <c r="GF4362"/>
      <c r="GG4362"/>
      <c r="GH4362"/>
    </row>
    <row r="4363" spans="187:190" s="1" customFormat="1" ht="18" customHeight="1" x14ac:dyDescent="0.2">
      <c r="GE4363"/>
      <c r="GF4363"/>
      <c r="GG4363"/>
      <c r="GH4363"/>
    </row>
    <row r="4364" spans="187:190" s="1" customFormat="1" ht="18" customHeight="1" x14ac:dyDescent="0.2">
      <c r="GE4364"/>
      <c r="GF4364"/>
      <c r="GG4364"/>
      <c r="GH4364"/>
    </row>
    <row r="4365" spans="187:190" s="1" customFormat="1" ht="18" customHeight="1" x14ac:dyDescent="0.2">
      <c r="GE4365"/>
      <c r="GF4365"/>
      <c r="GG4365"/>
      <c r="GH4365"/>
    </row>
    <row r="4366" spans="187:190" s="1" customFormat="1" ht="18" customHeight="1" x14ac:dyDescent="0.2">
      <c r="GE4366"/>
      <c r="GF4366"/>
      <c r="GG4366"/>
      <c r="GH4366"/>
    </row>
    <row r="4367" spans="187:190" s="1" customFormat="1" ht="18" customHeight="1" x14ac:dyDescent="0.2">
      <c r="GE4367"/>
      <c r="GF4367"/>
      <c r="GG4367"/>
      <c r="GH4367"/>
    </row>
    <row r="4368" spans="187:190" s="1" customFormat="1" ht="18" customHeight="1" x14ac:dyDescent="0.2">
      <c r="GE4368"/>
      <c r="GF4368"/>
      <c r="GG4368"/>
      <c r="GH4368"/>
    </row>
    <row r="4369" spans="187:190" s="1" customFormat="1" ht="18" customHeight="1" x14ac:dyDescent="0.2">
      <c r="GE4369"/>
      <c r="GF4369"/>
      <c r="GG4369"/>
      <c r="GH4369"/>
    </row>
    <row r="4370" spans="187:190" s="1" customFormat="1" ht="18" customHeight="1" x14ac:dyDescent="0.2">
      <c r="GE4370"/>
      <c r="GF4370"/>
      <c r="GG4370"/>
      <c r="GH4370"/>
    </row>
    <row r="4371" spans="187:190" s="1" customFormat="1" ht="18" customHeight="1" x14ac:dyDescent="0.2">
      <c r="GE4371"/>
      <c r="GF4371"/>
      <c r="GG4371"/>
      <c r="GH4371"/>
    </row>
    <row r="4372" spans="187:190" s="1" customFormat="1" ht="18" customHeight="1" x14ac:dyDescent="0.2">
      <c r="GE4372"/>
      <c r="GF4372"/>
      <c r="GG4372"/>
      <c r="GH4372"/>
    </row>
    <row r="4373" spans="187:190" s="1" customFormat="1" ht="18" customHeight="1" x14ac:dyDescent="0.2">
      <c r="GE4373"/>
      <c r="GF4373"/>
      <c r="GG4373"/>
      <c r="GH4373"/>
    </row>
    <row r="4374" spans="187:190" s="1" customFormat="1" ht="18" customHeight="1" x14ac:dyDescent="0.2">
      <c r="GE4374"/>
      <c r="GF4374"/>
      <c r="GG4374"/>
      <c r="GH4374"/>
    </row>
    <row r="4375" spans="187:190" s="1" customFormat="1" ht="18" customHeight="1" x14ac:dyDescent="0.2">
      <c r="GE4375"/>
      <c r="GF4375"/>
      <c r="GG4375"/>
      <c r="GH4375"/>
    </row>
    <row r="4376" spans="187:190" s="1" customFormat="1" ht="18" customHeight="1" x14ac:dyDescent="0.2">
      <c r="GE4376"/>
      <c r="GF4376"/>
      <c r="GG4376"/>
      <c r="GH4376"/>
    </row>
    <row r="4377" spans="187:190" s="1" customFormat="1" ht="18" customHeight="1" x14ac:dyDescent="0.2">
      <c r="GE4377"/>
      <c r="GF4377"/>
      <c r="GG4377"/>
      <c r="GH4377"/>
    </row>
    <row r="4378" spans="187:190" s="1" customFormat="1" ht="18" customHeight="1" x14ac:dyDescent="0.2">
      <c r="GE4378"/>
      <c r="GF4378"/>
      <c r="GG4378"/>
      <c r="GH4378"/>
    </row>
    <row r="4379" spans="187:190" s="1" customFormat="1" ht="18" customHeight="1" x14ac:dyDescent="0.2">
      <c r="GE4379"/>
      <c r="GF4379"/>
      <c r="GG4379"/>
      <c r="GH4379"/>
    </row>
    <row r="4380" spans="187:190" s="1" customFormat="1" ht="18" customHeight="1" x14ac:dyDescent="0.2">
      <c r="GE4380"/>
      <c r="GF4380"/>
      <c r="GG4380"/>
      <c r="GH4380"/>
    </row>
    <row r="4381" spans="187:190" s="1" customFormat="1" ht="18" customHeight="1" x14ac:dyDescent="0.2">
      <c r="GE4381"/>
      <c r="GF4381"/>
      <c r="GG4381"/>
      <c r="GH4381"/>
    </row>
    <row r="4382" spans="187:190" s="1" customFormat="1" ht="18" customHeight="1" x14ac:dyDescent="0.2">
      <c r="GE4382"/>
      <c r="GF4382"/>
      <c r="GG4382"/>
      <c r="GH4382"/>
    </row>
    <row r="4383" spans="187:190" s="1" customFormat="1" ht="18" customHeight="1" x14ac:dyDescent="0.2">
      <c r="GE4383"/>
      <c r="GF4383"/>
      <c r="GG4383"/>
      <c r="GH4383"/>
    </row>
    <row r="4384" spans="187:190" s="1" customFormat="1" ht="18" customHeight="1" x14ac:dyDescent="0.2">
      <c r="GE4384"/>
      <c r="GF4384"/>
      <c r="GG4384"/>
      <c r="GH4384"/>
    </row>
    <row r="4385" spans="187:190" s="1" customFormat="1" ht="18" customHeight="1" x14ac:dyDescent="0.2">
      <c r="GE4385"/>
      <c r="GF4385"/>
      <c r="GG4385"/>
      <c r="GH4385"/>
    </row>
    <row r="4386" spans="187:190" s="1" customFormat="1" ht="18" customHeight="1" x14ac:dyDescent="0.2">
      <c r="GE4386"/>
      <c r="GF4386"/>
      <c r="GG4386"/>
      <c r="GH4386"/>
    </row>
    <row r="4387" spans="187:190" s="1" customFormat="1" ht="18" customHeight="1" x14ac:dyDescent="0.2">
      <c r="GE4387"/>
      <c r="GF4387"/>
      <c r="GG4387"/>
      <c r="GH4387"/>
    </row>
    <row r="4388" spans="187:190" s="1" customFormat="1" ht="18" customHeight="1" x14ac:dyDescent="0.2">
      <c r="GE4388"/>
      <c r="GF4388"/>
      <c r="GG4388"/>
      <c r="GH4388"/>
    </row>
    <row r="4389" spans="187:190" s="1" customFormat="1" ht="18" customHeight="1" x14ac:dyDescent="0.2">
      <c r="GE4389"/>
      <c r="GF4389"/>
      <c r="GG4389"/>
      <c r="GH4389"/>
    </row>
    <row r="4390" spans="187:190" s="1" customFormat="1" ht="18" customHeight="1" x14ac:dyDescent="0.2">
      <c r="GE4390"/>
      <c r="GF4390"/>
      <c r="GG4390"/>
      <c r="GH4390"/>
    </row>
    <row r="4391" spans="187:190" s="1" customFormat="1" ht="18" customHeight="1" x14ac:dyDescent="0.2">
      <c r="GE4391"/>
      <c r="GF4391"/>
      <c r="GG4391"/>
      <c r="GH4391"/>
    </row>
    <row r="4392" spans="187:190" s="1" customFormat="1" ht="18" customHeight="1" x14ac:dyDescent="0.2">
      <c r="GE4392"/>
      <c r="GF4392"/>
      <c r="GG4392"/>
      <c r="GH4392"/>
    </row>
    <row r="4393" spans="187:190" s="1" customFormat="1" ht="18" customHeight="1" x14ac:dyDescent="0.2">
      <c r="GE4393"/>
      <c r="GF4393"/>
      <c r="GG4393"/>
      <c r="GH4393"/>
    </row>
    <row r="4394" spans="187:190" s="1" customFormat="1" ht="18" customHeight="1" x14ac:dyDescent="0.2">
      <c r="GE4394"/>
      <c r="GF4394"/>
      <c r="GG4394"/>
      <c r="GH4394"/>
    </row>
    <row r="4395" spans="187:190" s="1" customFormat="1" ht="18" customHeight="1" x14ac:dyDescent="0.2">
      <c r="GE4395"/>
      <c r="GF4395"/>
      <c r="GG4395"/>
      <c r="GH4395"/>
    </row>
    <row r="4396" spans="187:190" s="1" customFormat="1" ht="18" customHeight="1" x14ac:dyDescent="0.2">
      <c r="GE4396"/>
      <c r="GF4396"/>
      <c r="GG4396"/>
      <c r="GH4396"/>
    </row>
    <row r="4397" spans="187:190" s="1" customFormat="1" ht="18" customHeight="1" x14ac:dyDescent="0.2">
      <c r="GE4397"/>
      <c r="GF4397"/>
      <c r="GG4397"/>
      <c r="GH4397"/>
    </row>
    <row r="4398" spans="187:190" s="1" customFormat="1" ht="18" customHeight="1" x14ac:dyDescent="0.2">
      <c r="GE4398"/>
      <c r="GF4398"/>
      <c r="GG4398"/>
      <c r="GH4398"/>
    </row>
    <row r="4399" spans="187:190" s="1" customFormat="1" ht="18" customHeight="1" x14ac:dyDescent="0.2">
      <c r="GE4399"/>
      <c r="GF4399"/>
      <c r="GG4399"/>
      <c r="GH4399"/>
    </row>
    <row r="4400" spans="187:190" s="1" customFormat="1" ht="18" customHeight="1" x14ac:dyDescent="0.2">
      <c r="GE4400"/>
      <c r="GF4400"/>
      <c r="GG4400"/>
      <c r="GH4400"/>
    </row>
    <row r="4401" spans="187:190" s="1" customFormat="1" ht="18" customHeight="1" x14ac:dyDescent="0.2">
      <c r="GE4401"/>
      <c r="GF4401"/>
      <c r="GG4401"/>
      <c r="GH4401"/>
    </row>
    <row r="4402" spans="187:190" s="1" customFormat="1" ht="18" customHeight="1" x14ac:dyDescent="0.2">
      <c r="GE4402"/>
      <c r="GF4402"/>
      <c r="GG4402"/>
      <c r="GH4402"/>
    </row>
    <row r="4403" spans="187:190" s="1" customFormat="1" ht="18" customHeight="1" x14ac:dyDescent="0.2">
      <c r="GE4403"/>
      <c r="GF4403"/>
      <c r="GG4403"/>
      <c r="GH4403"/>
    </row>
    <row r="4404" spans="187:190" s="1" customFormat="1" ht="18" customHeight="1" x14ac:dyDescent="0.2">
      <c r="GE4404"/>
      <c r="GF4404"/>
      <c r="GG4404"/>
      <c r="GH4404"/>
    </row>
    <row r="4405" spans="187:190" s="1" customFormat="1" ht="18" customHeight="1" x14ac:dyDescent="0.2">
      <c r="GE4405"/>
      <c r="GF4405"/>
      <c r="GG4405"/>
      <c r="GH4405"/>
    </row>
    <row r="4406" spans="187:190" s="1" customFormat="1" ht="18" customHeight="1" x14ac:dyDescent="0.2">
      <c r="GE4406"/>
      <c r="GF4406"/>
      <c r="GG4406"/>
      <c r="GH4406"/>
    </row>
    <row r="4407" spans="187:190" s="1" customFormat="1" ht="18" customHeight="1" x14ac:dyDescent="0.2">
      <c r="GE4407"/>
      <c r="GF4407"/>
      <c r="GG4407"/>
      <c r="GH4407"/>
    </row>
    <row r="4408" spans="187:190" s="1" customFormat="1" ht="18" customHeight="1" x14ac:dyDescent="0.2">
      <c r="GE4408"/>
      <c r="GF4408"/>
      <c r="GG4408"/>
      <c r="GH4408"/>
    </row>
    <row r="4409" spans="187:190" s="1" customFormat="1" ht="18" customHeight="1" x14ac:dyDescent="0.2">
      <c r="GE4409"/>
      <c r="GF4409"/>
      <c r="GG4409"/>
      <c r="GH4409"/>
    </row>
    <row r="4410" spans="187:190" s="1" customFormat="1" ht="18" customHeight="1" x14ac:dyDescent="0.2">
      <c r="GE4410"/>
      <c r="GF4410"/>
      <c r="GG4410"/>
      <c r="GH4410"/>
    </row>
    <row r="4411" spans="187:190" s="1" customFormat="1" ht="18" customHeight="1" x14ac:dyDescent="0.2">
      <c r="GE4411"/>
      <c r="GF4411"/>
      <c r="GG4411"/>
      <c r="GH4411"/>
    </row>
    <row r="4412" spans="187:190" s="1" customFormat="1" ht="18" customHeight="1" x14ac:dyDescent="0.2">
      <c r="GE4412"/>
      <c r="GF4412"/>
      <c r="GG4412"/>
      <c r="GH4412"/>
    </row>
    <row r="4413" spans="187:190" s="1" customFormat="1" ht="18" customHeight="1" x14ac:dyDescent="0.2">
      <c r="GE4413"/>
      <c r="GF4413"/>
      <c r="GG4413"/>
      <c r="GH4413"/>
    </row>
    <row r="4414" spans="187:190" s="1" customFormat="1" ht="18" customHeight="1" x14ac:dyDescent="0.2">
      <c r="GE4414"/>
      <c r="GF4414"/>
      <c r="GG4414"/>
      <c r="GH4414"/>
    </row>
    <row r="4415" spans="187:190" s="1" customFormat="1" ht="18" customHeight="1" x14ac:dyDescent="0.2">
      <c r="GE4415"/>
      <c r="GF4415"/>
      <c r="GG4415"/>
      <c r="GH4415"/>
    </row>
    <row r="4416" spans="187:190" s="1" customFormat="1" ht="18" customHeight="1" x14ac:dyDescent="0.2">
      <c r="GE4416"/>
      <c r="GF4416"/>
      <c r="GG4416"/>
      <c r="GH4416"/>
    </row>
    <row r="4417" spans="187:190" s="1" customFormat="1" ht="18" customHeight="1" x14ac:dyDescent="0.2">
      <c r="GE4417"/>
      <c r="GF4417"/>
      <c r="GG4417"/>
      <c r="GH4417"/>
    </row>
    <row r="4418" spans="187:190" s="1" customFormat="1" ht="18" customHeight="1" x14ac:dyDescent="0.2">
      <c r="GE4418"/>
      <c r="GF4418"/>
      <c r="GG4418"/>
      <c r="GH4418"/>
    </row>
    <row r="4419" spans="187:190" s="1" customFormat="1" ht="18" customHeight="1" x14ac:dyDescent="0.2">
      <c r="GE4419"/>
      <c r="GF4419"/>
      <c r="GG4419"/>
      <c r="GH4419"/>
    </row>
    <row r="4420" spans="187:190" s="1" customFormat="1" ht="18" customHeight="1" x14ac:dyDescent="0.2">
      <c r="GE4420"/>
      <c r="GF4420"/>
      <c r="GG4420"/>
      <c r="GH4420"/>
    </row>
    <row r="4421" spans="187:190" s="1" customFormat="1" ht="18" customHeight="1" x14ac:dyDescent="0.2">
      <c r="GE4421"/>
      <c r="GF4421"/>
      <c r="GG4421"/>
      <c r="GH4421"/>
    </row>
    <row r="4422" spans="187:190" s="1" customFormat="1" ht="18" customHeight="1" x14ac:dyDescent="0.2">
      <c r="GE4422"/>
      <c r="GF4422"/>
      <c r="GG4422"/>
      <c r="GH4422"/>
    </row>
    <row r="4423" spans="187:190" s="1" customFormat="1" ht="18" customHeight="1" x14ac:dyDescent="0.2">
      <c r="GE4423"/>
      <c r="GF4423"/>
      <c r="GG4423"/>
      <c r="GH4423"/>
    </row>
    <row r="4424" spans="187:190" s="1" customFormat="1" ht="18" customHeight="1" x14ac:dyDescent="0.2">
      <c r="GE4424"/>
      <c r="GF4424"/>
      <c r="GG4424"/>
      <c r="GH4424"/>
    </row>
    <row r="4425" spans="187:190" s="1" customFormat="1" ht="18" customHeight="1" x14ac:dyDescent="0.2">
      <c r="GE4425"/>
      <c r="GF4425"/>
      <c r="GG4425"/>
      <c r="GH4425"/>
    </row>
    <row r="4426" spans="187:190" s="1" customFormat="1" ht="18" customHeight="1" x14ac:dyDescent="0.2">
      <c r="GE4426"/>
      <c r="GF4426"/>
      <c r="GG4426"/>
      <c r="GH4426"/>
    </row>
    <row r="4427" spans="187:190" s="1" customFormat="1" ht="18" customHeight="1" x14ac:dyDescent="0.2">
      <c r="GE4427"/>
      <c r="GF4427"/>
      <c r="GG4427"/>
      <c r="GH4427"/>
    </row>
    <row r="4428" spans="187:190" s="1" customFormat="1" ht="18" customHeight="1" x14ac:dyDescent="0.2">
      <c r="GE4428"/>
      <c r="GF4428"/>
      <c r="GG4428"/>
      <c r="GH4428"/>
    </row>
    <row r="4429" spans="187:190" s="1" customFormat="1" ht="18" customHeight="1" x14ac:dyDescent="0.2">
      <c r="GE4429"/>
      <c r="GF4429"/>
      <c r="GG4429"/>
      <c r="GH4429"/>
    </row>
    <row r="4430" spans="187:190" s="1" customFormat="1" ht="18" customHeight="1" x14ac:dyDescent="0.2">
      <c r="GE4430"/>
      <c r="GF4430"/>
      <c r="GG4430"/>
      <c r="GH4430"/>
    </row>
    <row r="4431" spans="187:190" s="1" customFormat="1" ht="18" customHeight="1" x14ac:dyDescent="0.2">
      <c r="GE4431"/>
      <c r="GF4431"/>
      <c r="GG4431"/>
      <c r="GH4431"/>
    </row>
    <row r="4432" spans="187:190" s="1" customFormat="1" ht="18" customHeight="1" x14ac:dyDescent="0.2">
      <c r="GE4432"/>
      <c r="GF4432"/>
      <c r="GG4432"/>
      <c r="GH4432"/>
    </row>
    <row r="4433" spans="187:190" s="1" customFormat="1" ht="18" customHeight="1" x14ac:dyDescent="0.2">
      <c r="GE4433"/>
      <c r="GF4433"/>
      <c r="GG4433"/>
      <c r="GH4433"/>
    </row>
    <row r="4434" spans="187:190" s="1" customFormat="1" ht="18" customHeight="1" x14ac:dyDescent="0.2">
      <c r="GE4434"/>
      <c r="GF4434"/>
      <c r="GG4434"/>
      <c r="GH4434"/>
    </row>
    <row r="4435" spans="187:190" s="1" customFormat="1" ht="18" customHeight="1" x14ac:dyDescent="0.2">
      <c r="GE4435"/>
      <c r="GF4435"/>
      <c r="GG4435"/>
      <c r="GH4435"/>
    </row>
    <row r="4436" spans="187:190" s="1" customFormat="1" ht="18" customHeight="1" x14ac:dyDescent="0.2">
      <c r="GE4436"/>
      <c r="GF4436"/>
      <c r="GG4436"/>
      <c r="GH4436"/>
    </row>
    <row r="4437" spans="187:190" s="1" customFormat="1" ht="18" customHeight="1" x14ac:dyDescent="0.2">
      <c r="GE4437"/>
      <c r="GF4437"/>
      <c r="GG4437"/>
      <c r="GH4437"/>
    </row>
    <row r="4438" spans="187:190" s="1" customFormat="1" ht="18" customHeight="1" x14ac:dyDescent="0.2">
      <c r="GE4438"/>
      <c r="GF4438"/>
      <c r="GG4438"/>
      <c r="GH4438"/>
    </row>
    <row r="4439" spans="187:190" s="1" customFormat="1" ht="18" customHeight="1" x14ac:dyDescent="0.2">
      <c r="GE4439"/>
      <c r="GF4439"/>
      <c r="GG4439"/>
      <c r="GH4439"/>
    </row>
    <row r="4440" spans="187:190" s="1" customFormat="1" ht="18" customHeight="1" x14ac:dyDescent="0.2">
      <c r="GE4440"/>
      <c r="GF4440"/>
      <c r="GG4440"/>
      <c r="GH4440"/>
    </row>
    <row r="4441" spans="187:190" s="1" customFormat="1" ht="18" customHeight="1" x14ac:dyDescent="0.2">
      <c r="GE4441"/>
      <c r="GF4441"/>
      <c r="GG4441"/>
      <c r="GH4441"/>
    </row>
    <row r="4442" spans="187:190" s="1" customFormat="1" ht="18" customHeight="1" x14ac:dyDescent="0.2">
      <c r="GE4442"/>
      <c r="GF4442"/>
      <c r="GG4442"/>
      <c r="GH4442"/>
    </row>
    <row r="4443" spans="187:190" s="1" customFormat="1" ht="18" customHeight="1" x14ac:dyDescent="0.2">
      <c r="GE4443"/>
      <c r="GF4443"/>
      <c r="GG4443"/>
      <c r="GH4443"/>
    </row>
    <row r="4444" spans="187:190" s="1" customFormat="1" ht="18" customHeight="1" x14ac:dyDescent="0.2">
      <c r="GE4444"/>
      <c r="GF4444"/>
      <c r="GG4444"/>
      <c r="GH4444"/>
    </row>
    <row r="4445" spans="187:190" s="1" customFormat="1" ht="18" customHeight="1" x14ac:dyDescent="0.2">
      <c r="GE4445"/>
      <c r="GF4445"/>
      <c r="GG4445"/>
      <c r="GH4445"/>
    </row>
    <row r="4446" spans="187:190" s="1" customFormat="1" ht="18" customHeight="1" x14ac:dyDescent="0.2">
      <c r="GE4446"/>
      <c r="GF4446"/>
      <c r="GG4446"/>
      <c r="GH4446"/>
    </row>
    <row r="4447" spans="187:190" s="1" customFormat="1" ht="18" customHeight="1" x14ac:dyDescent="0.2">
      <c r="GE4447"/>
      <c r="GF4447"/>
      <c r="GG4447"/>
      <c r="GH4447"/>
    </row>
    <row r="4448" spans="187:190" s="1" customFormat="1" ht="18" customHeight="1" x14ac:dyDescent="0.2">
      <c r="GE4448"/>
      <c r="GF4448"/>
      <c r="GG4448"/>
      <c r="GH4448"/>
    </row>
    <row r="4449" spans="187:190" s="1" customFormat="1" ht="18" customHeight="1" x14ac:dyDescent="0.2">
      <c r="GE4449"/>
      <c r="GF4449"/>
      <c r="GG4449"/>
      <c r="GH4449"/>
    </row>
    <row r="4450" spans="187:190" s="1" customFormat="1" ht="18" customHeight="1" x14ac:dyDescent="0.2">
      <c r="GE4450"/>
      <c r="GF4450"/>
      <c r="GG4450"/>
      <c r="GH4450"/>
    </row>
    <row r="4451" spans="187:190" s="1" customFormat="1" ht="18" customHeight="1" x14ac:dyDescent="0.2">
      <c r="GE4451"/>
      <c r="GF4451"/>
      <c r="GG4451"/>
      <c r="GH4451"/>
    </row>
    <row r="4452" spans="187:190" s="1" customFormat="1" ht="18" customHeight="1" x14ac:dyDescent="0.2">
      <c r="GE4452"/>
      <c r="GF4452"/>
      <c r="GG4452"/>
      <c r="GH4452"/>
    </row>
    <row r="4453" spans="187:190" s="1" customFormat="1" ht="18" customHeight="1" x14ac:dyDescent="0.2">
      <c r="GE4453"/>
      <c r="GF4453"/>
      <c r="GG4453"/>
      <c r="GH4453"/>
    </row>
    <row r="4454" spans="187:190" s="1" customFormat="1" ht="18" customHeight="1" x14ac:dyDescent="0.2">
      <c r="GE4454"/>
      <c r="GF4454"/>
      <c r="GG4454"/>
      <c r="GH4454"/>
    </row>
    <row r="4455" spans="187:190" s="1" customFormat="1" ht="18" customHeight="1" x14ac:dyDescent="0.2">
      <c r="GE4455"/>
      <c r="GF4455"/>
      <c r="GG4455"/>
      <c r="GH4455"/>
    </row>
    <row r="4456" spans="187:190" s="1" customFormat="1" ht="18" customHeight="1" x14ac:dyDescent="0.2">
      <c r="GE4456"/>
      <c r="GF4456"/>
      <c r="GG4456"/>
      <c r="GH4456"/>
    </row>
    <row r="4457" spans="187:190" s="1" customFormat="1" ht="18" customHeight="1" x14ac:dyDescent="0.2">
      <c r="GE4457"/>
      <c r="GF4457"/>
      <c r="GG4457"/>
      <c r="GH4457"/>
    </row>
    <row r="4458" spans="187:190" s="1" customFormat="1" ht="18" customHeight="1" x14ac:dyDescent="0.2">
      <c r="GE4458"/>
      <c r="GF4458"/>
      <c r="GG4458"/>
      <c r="GH4458"/>
    </row>
    <row r="4459" spans="187:190" s="1" customFormat="1" ht="18" customHeight="1" x14ac:dyDescent="0.2">
      <c r="GE4459"/>
      <c r="GF4459"/>
      <c r="GG4459"/>
      <c r="GH4459"/>
    </row>
    <row r="4460" spans="187:190" s="1" customFormat="1" ht="18" customHeight="1" x14ac:dyDescent="0.2">
      <c r="GE4460"/>
      <c r="GF4460"/>
      <c r="GG4460"/>
      <c r="GH4460"/>
    </row>
    <row r="4461" spans="187:190" s="1" customFormat="1" ht="18" customHeight="1" x14ac:dyDescent="0.2">
      <c r="GE4461"/>
      <c r="GF4461"/>
      <c r="GG4461"/>
      <c r="GH4461"/>
    </row>
    <row r="4462" spans="187:190" s="1" customFormat="1" ht="18" customHeight="1" x14ac:dyDescent="0.2">
      <c r="GE4462"/>
      <c r="GF4462"/>
      <c r="GG4462"/>
      <c r="GH4462"/>
    </row>
    <row r="4463" spans="187:190" s="1" customFormat="1" ht="18" customHeight="1" x14ac:dyDescent="0.2">
      <c r="GE4463"/>
      <c r="GF4463"/>
      <c r="GG4463"/>
      <c r="GH4463"/>
    </row>
    <row r="4464" spans="187:190" s="1" customFormat="1" ht="18" customHeight="1" x14ac:dyDescent="0.2">
      <c r="GE4464"/>
      <c r="GF4464"/>
      <c r="GG4464"/>
      <c r="GH4464"/>
    </row>
    <row r="4465" spans="187:190" s="1" customFormat="1" ht="18" customHeight="1" x14ac:dyDescent="0.2">
      <c r="GE4465"/>
      <c r="GF4465"/>
      <c r="GG4465"/>
      <c r="GH4465"/>
    </row>
    <row r="4466" spans="187:190" s="1" customFormat="1" ht="18" customHeight="1" x14ac:dyDescent="0.2">
      <c r="GE4466"/>
      <c r="GF4466"/>
      <c r="GG4466"/>
      <c r="GH4466"/>
    </row>
    <row r="4467" spans="187:190" s="1" customFormat="1" ht="18" customHeight="1" x14ac:dyDescent="0.2">
      <c r="GE4467"/>
      <c r="GF4467"/>
      <c r="GG4467"/>
      <c r="GH4467"/>
    </row>
    <row r="4468" spans="187:190" s="1" customFormat="1" ht="18" customHeight="1" x14ac:dyDescent="0.2">
      <c r="GE4468"/>
      <c r="GF4468"/>
      <c r="GG4468"/>
      <c r="GH4468"/>
    </row>
    <row r="4469" spans="187:190" s="1" customFormat="1" ht="18" customHeight="1" x14ac:dyDescent="0.2">
      <c r="GE4469"/>
      <c r="GF4469"/>
      <c r="GG4469"/>
      <c r="GH4469"/>
    </row>
    <row r="4470" spans="187:190" s="1" customFormat="1" ht="18" customHeight="1" x14ac:dyDescent="0.2">
      <c r="GE4470"/>
      <c r="GF4470"/>
      <c r="GG4470"/>
      <c r="GH4470"/>
    </row>
    <row r="4471" spans="187:190" s="1" customFormat="1" ht="18" customHeight="1" x14ac:dyDescent="0.2">
      <c r="GE4471"/>
      <c r="GF4471"/>
      <c r="GG4471"/>
      <c r="GH4471"/>
    </row>
    <row r="4472" spans="187:190" s="1" customFormat="1" ht="18" customHeight="1" x14ac:dyDescent="0.2">
      <c r="GE4472"/>
      <c r="GF4472"/>
      <c r="GG4472"/>
      <c r="GH4472"/>
    </row>
    <row r="4473" spans="187:190" s="1" customFormat="1" ht="18" customHeight="1" x14ac:dyDescent="0.2">
      <c r="GE4473"/>
      <c r="GF4473"/>
      <c r="GG4473"/>
      <c r="GH4473"/>
    </row>
    <row r="4474" spans="187:190" s="1" customFormat="1" ht="18" customHeight="1" x14ac:dyDescent="0.2">
      <c r="GE4474"/>
      <c r="GF4474"/>
      <c r="GG4474"/>
      <c r="GH4474"/>
    </row>
    <row r="4475" spans="187:190" s="1" customFormat="1" ht="18" customHeight="1" x14ac:dyDescent="0.2">
      <c r="GE4475"/>
      <c r="GF4475"/>
      <c r="GG4475"/>
      <c r="GH4475"/>
    </row>
    <row r="4476" spans="187:190" s="1" customFormat="1" ht="18" customHeight="1" x14ac:dyDescent="0.2">
      <c r="GE4476"/>
      <c r="GF4476"/>
      <c r="GG4476"/>
      <c r="GH4476"/>
    </row>
    <row r="4477" spans="187:190" s="1" customFormat="1" ht="18" customHeight="1" x14ac:dyDescent="0.2">
      <c r="GE4477"/>
      <c r="GF4477"/>
      <c r="GG4477"/>
      <c r="GH4477"/>
    </row>
    <row r="4478" spans="187:190" s="1" customFormat="1" ht="18" customHeight="1" x14ac:dyDescent="0.2">
      <c r="GE4478"/>
      <c r="GF4478"/>
      <c r="GG4478"/>
      <c r="GH4478"/>
    </row>
    <row r="4479" spans="187:190" s="1" customFormat="1" ht="18" customHeight="1" x14ac:dyDescent="0.2">
      <c r="GE4479"/>
      <c r="GF4479"/>
      <c r="GG4479"/>
      <c r="GH4479"/>
    </row>
    <row r="4480" spans="187:190" s="1" customFormat="1" ht="18" customHeight="1" x14ac:dyDescent="0.2">
      <c r="GE4480"/>
      <c r="GF4480"/>
      <c r="GG4480"/>
      <c r="GH4480"/>
    </row>
    <row r="4481" spans="187:190" s="1" customFormat="1" ht="18" customHeight="1" x14ac:dyDescent="0.2">
      <c r="GE4481"/>
      <c r="GF4481"/>
      <c r="GG4481"/>
      <c r="GH4481"/>
    </row>
    <row r="4482" spans="187:190" s="1" customFormat="1" ht="18" customHeight="1" x14ac:dyDescent="0.2">
      <c r="GE4482"/>
      <c r="GF4482"/>
      <c r="GG4482"/>
      <c r="GH4482"/>
    </row>
    <row r="4483" spans="187:190" s="1" customFormat="1" ht="18" customHeight="1" x14ac:dyDescent="0.2">
      <c r="GE4483"/>
      <c r="GF4483"/>
      <c r="GG4483"/>
      <c r="GH4483"/>
    </row>
    <row r="4484" spans="187:190" s="1" customFormat="1" ht="18" customHeight="1" x14ac:dyDescent="0.2">
      <c r="GE4484"/>
      <c r="GF4484"/>
      <c r="GG4484"/>
      <c r="GH4484"/>
    </row>
    <row r="4485" spans="187:190" s="1" customFormat="1" ht="18" customHeight="1" x14ac:dyDescent="0.2">
      <c r="GE4485"/>
      <c r="GF4485"/>
      <c r="GG4485"/>
      <c r="GH4485"/>
    </row>
    <row r="4486" spans="187:190" s="1" customFormat="1" ht="18" customHeight="1" x14ac:dyDescent="0.2">
      <c r="GE4486"/>
      <c r="GF4486"/>
      <c r="GG4486"/>
      <c r="GH4486"/>
    </row>
    <row r="4487" spans="187:190" s="1" customFormat="1" ht="18" customHeight="1" x14ac:dyDescent="0.2">
      <c r="GE4487"/>
      <c r="GF4487"/>
      <c r="GG4487"/>
      <c r="GH4487"/>
    </row>
    <row r="4488" spans="187:190" s="1" customFormat="1" ht="18" customHeight="1" x14ac:dyDescent="0.2">
      <c r="GE4488"/>
      <c r="GF4488"/>
      <c r="GG4488"/>
      <c r="GH4488"/>
    </row>
    <row r="4489" spans="187:190" s="1" customFormat="1" ht="18" customHeight="1" x14ac:dyDescent="0.2">
      <c r="GE4489"/>
      <c r="GF4489"/>
      <c r="GG4489"/>
      <c r="GH4489"/>
    </row>
    <row r="4490" spans="187:190" s="1" customFormat="1" ht="18" customHeight="1" x14ac:dyDescent="0.2">
      <c r="GE4490"/>
      <c r="GF4490"/>
      <c r="GG4490"/>
      <c r="GH4490"/>
    </row>
    <row r="4491" spans="187:190" s="1" customFormat="1" ht="18" customHeight="1" x14ac:dyDescent="0.2">
      <c r="GE4491"/>
      <c r="GF4491"/>
      <c r="GG4491"/>
      <c r="GH4491"/>
    </row>
    <row r="4492" spans="187:190" s="1" customFormat="1" ht="18" customHeight="1" x14ac:dyDescent="0.2">
      <c r="GE4492"/>
      <c r="GF4492"/>
      <c r="GG4492"/>
      <c r="GH4492"/>
    </row>
    <row r="4493" spans="187:190" s="1" customFormat="1" ht="18" customHeight="1" x14ac:dyDescent="0.2">
      <c r="GE4493"/>
      <c r="GF4493"/>
      <c r="GG4493"/>
      <c r="GH4493"/>
    </row>
    <row r="4494" spans="187:190" s="1" customFormat="1" ht="18" customHeight="1" x14ac:dyDescent="0.2">
      <c r="GE4494"/>
      <c r="GF4494"/>
      <c r="GG4494"/>
      <c r="GH4494"/>
    </row>
    <row r="4495" spans="187:190" s="1" customFormat="1" ht="18" customHeight="1" x14ac:dyDescent="0.2">
      <c r="GE4495"/>
      <c r="GF4495"/>
      <c r="GG4495"/>
      <c r="GH4495"/>
    </row>
    <row r="4496" spans="187:190" s="1" customFormat="1" ht="18" customHeight="1" x14ac:dyDescent="0.2">
      <c r="GE4496"/>
      <c r="GF4496"/>
      <c r="GG4496"/>
      <c r="GH4496"/>
    </row>
    <row r="4497" spans="187:190" s="1" customFormat="1" ht="18" customHeight="1" x14ac:dyDescent="0.2">
      <c r="GE4497"/>
      <c r="GF4497"/>
      <c r="GG4497"/>
      <c r="GH4497"/>
    </row>
    <row r="4498" spans="187:190" s="1" customFormat="1" ht="18" customHeight="1" x14ac:dyDescent="0.2">
      <c r="GE4498"/>
      <c r="GF4498"/>
      <c r="GG4498"/>
      <c r="GH4498"/>
    </row>
    <row r="4499" spans="187:190" s="1" customFormat="1" ht="18" customHeight="1" x14ac:dyDescent="0.2">
      <c r="GE4499"/>
      <c r="GF4499"/>
      <c r="GG4499"/>
      <c r="GH4499"/>
    </row>
    <row r="4500" spans="187:190" s="1" customFormat="1" ht="18" customHeight="1" x14ac:dyDescent="0.2">
      <c r="GE4500"/>
      <c r="GF4500"/>
      <c r="GG4500"/>
      <c r="GH4500"/>
    </row>
    <row r="4501" spans="187:190" s="1" customFormat="1" ht="18" customHeight="1" x14ac:dyDescent="0.2">
      <c r="GE4501"/>
      <c r="GF4501"/>
      <c r="GG4501"/>
      <c r="GH4501"/>
    </row>
    <row r="4502" spans="187:190" s="1" customFormat="1" ht="18" customHeight="1" x14ac:dyDescent="0.2">
      <c r="GE4502"/>
      <c r="GF4502"/>
      <c r="GG4502"/>
      <c r="GH4502"/>
    </row>
    <row r="4503" spans="187:190" s="1" customFormat="1" ht="18" customHeight="1" x14ac:dyDescent="0.2">
      <c r="GE4503"/>
      <c r="GF4503"/>
      <c r="GG4503"/>
      <c r="GH4503"/>
    </row>
    <row r="4504" spans="187:190" s="1" customFormat="1" ht="18" customHeight="1" x14ac:dyDescent="0.2">
      <c r="GE4504"/>
      <c r="GF4504"/>
      <c r="GG4504"/>
      <c r="GH4504"/>
    </row>
    <row r="4505" spans="187:190" s="1" customFormat="1" ht="18" customHeight="1" x14ac:dyDescent="0.2">
      <c r="GE4505"/>
      <c r="GF4505"/>
      <c r="GG4505"/>
      <c r="GH4505"/>
    </row>
    <row r="4506" spans="187:190" s="1" customFormat="1" ht="18" customHeight="1" x14ac:dyDescent="0.2">
      <c r="GE4506"/>
      <c r="GF4506"/>
      <c r="GG4506"/>
      <c r="GH4506"/>
    </row>
    <row r="4507" spans="187:190" s="1" customFormat="1" ht="18" customHeight="1" x14ac:dyDescent="0.2">
      <c r="GE4507"/>
      <c r="GF4507"/>
      <c r="GG4507"/>
      <c r="GH4507"/>
    </row>
    <row r="4508" spans="187:190" s="1" customFormat="1" ht="18" customHeight="1" x14ac:dyDescent="0.2">
      <c r="GE4508"/>
      <c r="GF4508"/>
      <c r="GG4508"/>
      <c r="GH4508"/>
    </row>
    <row r="4509" spans="187:190" s="1" customFormat="1" ht="18" customHeight="1" x14ac:dyDescent="0.2">
      <c r="GE4509"/>
      <c r="GF4509"/>
      <c r="GG4509"/>
      <c r="GH4509"/>
    </row>
    <row r="4510" spans="187:190" s="1" customFormat="1" ht="18" customHeight="1" x14ac:dyDescent="0.2">
      <c r="GE4510"/>
      <c r="GF4510"/>
      <c r="GG4510"/>
      <c r="GH4510"/>
    </row>
    <row r="4511" spans="187:190" s="1" customFormat="1" ht="18" customHeight="1" x14ac:dyDescent="0.2">
      <c r="GE4511"/>
      <c r="GF4511"/>
      <c r="GG4511"/>
      <c r="GH4511"/>
    </row>
    <row r="4512" spans="187:190" s="1" customFormat="1" ht="18" customHeight="1" x14ac:dyDescent="0.2">
      <c r="GE4512"/>
      <c r="GF4512"/>
      <c r="GG4512"/>
      <c r="GH4512"/>
    </row>
    <row r="4513" spans="187:190" s="1" customFormat="1" ht="18" customHeight="1" x14ac:dyDescent="0.2">
      <c r="GE4513"/>
      <c r="GF4513"/>
      <c r="GG4513"/>
      <c r="GH4513"/>
    </row>
    <row r="4514" spans="187:190" s="1" customFormat="1" ht="18" customHeight="1" x14ac:dyDescent="0.2">
      <c r="GE4514"/>
      <c r="GF4514"/>
      <c r="GG4514"/>
      <c r="GH4514"/>
    </row>
    <row r="4515" spans="187:190" s="1" customFormat="1" ht="18" customHeight="1" x14ac:dyDescent="0.2">
      <c r="GE4515"/>
      <c r="GF4515"/>
      <c r="GG4515"/>
      <c r="GH4515"/>
    </row>
    <row r="4516" spans="187:190" s="1" customFormat="1" ht="18" customHeight="1" x14ac:dyDescent="0.2">
      <c r="GE4516"/>
      <c r="GF4516"/>
      <c r="GG4516"/>
      <c r="GH4516"/>
    </row>
    <row r="4517" spans="187:190" s="1" customFormat="1" ht="18" customHeight="1" x14ac:dyDescent="0.2">
      <c r="GE4517"/>
      <c r="GF4517"/>
      <c r="GG4517"/>
      <c r="GH4517"/>
    </row>
    <row r="4518" spans="187:190" s="1" customFormat="1" ht="18" customHeight="1" x14ac:dyDescent="0.2">
      <c r="GE4518"/>
      <c r="GF4518"/>
      <c r="GG4518"/>
      <c r="GH4518"/>
    </row>
    <row r="4519" spans="187:190" s="1" customFormat="1" ht="18" customHeight="1" x14ac:dyDescent="0.2">
      <c r="GE4519"/>
      <c r="GF4519"/>
      <c r="GG4519"/>
      <c r="GH4519"/>
    </row>
    <row r="4520" spans="187:190" s="1" customFormat="1" ht="18" customHeight="1" x14ac:dyDescent="0.2">
      <c r="GE4520"/>
      <c r="GF4520"/>
      <c r="GG4520"/>
      <c r="GH4520"/>
    </row>
    <row r="4521" spans="187:190" s="1" customFormat="1" ht="18" customHeight="1" x14ac:dyDescent="0.2">
      <c r="GE4521"/>
      <c r="GF4521"/>
      <c r="GG4521"/>
      <c r="GH4521"/>
    </row>
    <row r="4522" spans="187:190" s="1" customFormat="1" ht="18" customHeight="1" x14ac:dyDescent="0.2">
      <c r="GE4522"/>
      <c r="GF4522"/>
      <c r="GG4522"/>
      <c r="GH4522"/>
    </row>
    <row r="4523" spans="187:190" s="1" customFormat="1" ht="18" customHeight="1" x14ac:dyDescent="0.2">
      <c r="GE4523"/>
      <c r="GF4523"/>
      <c r="GG4523"/>
      <c r="GH4523"/>
    </row>
    <row r="4524" spans="187:190" s="1" customFormat="1" ht="18" customHeight="1" x14ac:dyDescent="0.2">
      <c r="GE4524"/>
      <c r="GF4524"/>
      <c r="GG4524"/>
      <c r="GH4524"/>
    </row>
    <row r="4525" spans="187:190" s="1" customFormat="1" ht="18" customHeight="1" x14ac:dyDescent="0.2">
      <c r="GE4525"/>
      <c r="GF4525"/>
      <c r="GG4525"/>
      <c r="GH4525"/>
    </row>
    <row r="4526" spans="187:190" s="1" customFormat="1" ht="18" customHeight="1" x14ac:dyDescent="0.2">
      <c r="GE4526"/>
      <c r="GF4526"/>
      <c r="GG4526"/>
      <c r="GH4526"/>
    </row>
    <row r="4527" spans="187:190" s="1" customFormat="1" ht="18" customHeight="1" x14ac:dyDescent="0.2">
      <c r="GE4527"/>
      <c r="GF4527"/>
      <c r="GG4527"/>
      <c r="GH4527"/>
    </row>
    <row r="4528" spans="187:190" s="1" customFormat="1" ht="18" customHeight="1" x14ac:dyDescent="0.2">
      <c r="GE4528"/>
      <c r="GF4528"/>
      <c r="GG4528"/>
      <c r="GH4528"/>
    </row>
    <row r="4529" spans="187:190" s="1" customFormat="1" ht="18" customHeight="1" x14ac:dyDescent="0.2">
      <c r="GE4529"/>
      <c r="GF4529"/>
      <c r="GG4529"/>
      <c r="GH4529"/>
    </row>
    <row r="4530" spans="187:190" s="1" customFormat="1" ht="18" customHeight="1" x14ac:dyDescent="0.2">
      <c r="GE4530"/>
      <c r="GF4530"/>
      <c r="GG4530"/>
      <c r="GH4530"/>
    </row>
    <row r="4531" spans="187:190" s="1" customFormat="1" ht="18" customHeight="1" x14ac:dyDescent="0.2">
      <c r="GE4531"/>
      <c r="GF4531"/>
      <c r="GG4531"/>
      <c r="GH4531"/>
    </row>
    <row r="4532" spans="187:190" s="1" customFormat="1" ht="18" customHeight="1" x14ac:dyDescent="0.2">
      <c r="GE4532"/>
      <c r="GF4532"/>
      <c r="GG4532"/>
      <c r="GH4532"/>
    </row>
    <row r="4533" spans="187:190" s="1" customFormat="1" ht="18" customHeight="1" x14ac:dyDescent="0.2">
      <c r="GE4533"/>
      <c r="GF4533"/>
      <c r="GG4533"/>
      <c r="GH4533"/>
    </row>
    <row r="4534" spans="187:190" s="1" customFormat="1" ht="18" customHeight="1" x14ac:dyDescent="0.2">
      <c r="GE4534"/>
      <c r="GF4534"/>
      <c r="GG4534"/>
      <c r="GH4534"/>
    </row>
    <row r="4535" spans="187:190" s="1" customFormat="1" ht="18" customHeight="1" x14ac:dyDescent="0.2">
      <c r="GE4535"/>
      <c r="GF4535"/>
      <c r="GG4535"/>
      <c r="GH4535"/>
    </row>
    <row r="4536" spans="187:190" s="1" customFormat="1" ht="18" customHeight="1" x14ac:dyDescent="0.2">
      <c r="GE4536"/>
      <c r="GF4536"/>
      <c r="GG4536"/>
      <c r="GH4536"/>
    </row>
    <row r="4537" spans="187:190" s="1" customFormat="1" ht="18" customHeight="1" x14ac:dyDescent="0.2">
      <c r="GE4537"/>
      <c r="GF4537"/>
      <c r="GG4537"/>
      <c r="GH4537"/>
    </row>
    <row r="4538" spans="187:190" s="1" customFormat="1" ht="18" customHeight="1" x14ac:dyDescent="0.2">
      <c r="GE4538"/>
      <c r="GF4538"/>
      <c r="GG4538"/>
      <c r="GH4538"/>
    </row>
    <row r="4539" spans="187:190" s="1" customFormat="1" ht="18" customHeight="1" x14ac:dyDescent="0.2">
      <c r="GE4539"/>
      <c r="GF4539"/>
      <c r="GG4539"/>
      <c r="GH4539"/>
    </row>
    <row r="4540" spans="187:190" s="1" customFormat="1" ht="18" customHeight="1" x14ac:dyDescent="0.2">
      <c r="GE4540"/>
      <c r="GF4540"/>
      <c r="GG4540"/>
      <c r="GH4540"/>
    </row>
    <row r="4541" spans="187:190" s="1" customFormat="1" ht="18" customHeight="1" x14ac:dyDescent="0.2">
      <c r="GE4541"/>
      <c r="GF4541"/>
      <c r="GG4541"/>
      <c r="GH4541"/>
    </row>
    <row r="4542" spans="187:190" s="1" customFormat="1" ht="18" customHeight="1" x14ac:dyDescent="0.2">
      <c r="GE4542"/>
      <c r="GF4542"/>
      <c r="GG4542"/>
      <c r="GH4542"/>
    </row>
    <row r="4543" spans="187:190" s="1" customFormat="1" ht="18" customHeight="1" x14ac:dyDescent="0.2">
      <c r="GE4543"/>
      <c r="GF4543"/>
      <c r="GG4543"/>
      <c r="GH4543"/>
    </row>
    <row r="4544" spans="187:190" s="1" customFormat="1" ht="18" customHeight="1" x14ac:dyDescent="0.2">
      <c r="GE4544"/>
      <c r="GF4544"/>
      <c r="GG4544"/>
      <c r="GH4544"/>
    </row>
    <row r="4545" spans="187:190" s="1" customFormat="1" ht="18" customHeight="1" x14ac:dyDescent="0.2">
      <c r="GE4545"/>
      <c r="GF4545"/>
      <c r="GG4545"/>
      <c r="GH4545"/>
    </row>
    <row r="4546" spans="187:190" s="1" customFormat="1" ht="18" customHeight="1" x14ac:dyDescent="0.2">
      <c r="GE4546"/>
      <c r="GF4546"/>
      <c r="GG4546"/>
      <c r="GH4546"/>
    </row>
    <row r="4547" spans="187:190" s="1" customFormat="1" ht="18" customHeight="1" x14ac:dyDescent="0.2">
      <c r="GE4547"/>
      <c r="GF4547"/>
      <c r="GG4547"/>
      <c r="GH4547"/>
    </row>
    <row r="4548" spans="187:190" s="1" customFormat="1" ht="18" customHeight="1" x14ac:dyDescent="0.2">
      <c r="GE4548"/>
      <c r="GF4548"/>
      <c r="GG4548"/>
      <c r="GH4548"/>
    </row>
    <row r="4549" spans="187:190" s="1" customFormat="1" ht="18" customHeight="1" x14ac:dyDescent="0.2">
      <c r="GE4549"/>
      <c r="GF4549"/>
      <c r="GG4549"/>
      <c r="GH4549"/>
    </row>
    <row r="4550" spans="187:190" s="1" customFormat="1" ht="18" customHeight="1" x14ac:dyDescent="0.2">
      <c r="GE4550"/>
      <c r="GF4550"/>
      <c r="GG4550"/>
      <c r="GH4550"/>
    </row>
    <row r="4551" spans="187:190" s="1" customFormat="1" ht="18" customHeight="1" x14ac:dyDescent="0.2">
      <c r="GE4551"/>
      <c r="GF4551"/>
      <c r="GG4551"/>
      <c r="GH4551"/>
    </row>
    <row r="4552" spans="187:190" s="1" customFormat="1" ht="18" customHeight="1" x14ac:dyDescent="0.2">
      <c r="GE4552"/>
      <c r="GF4552"/>
      <c r="GG4552"/>
      <c r="GH4552"/>
    </row>
    <row r="4553" spans="187:190" s="1" customFormat="1" ht="18" customHeight="1" x14ac:dyDescent="0.2">
      <c r="GE4553"/>
      <c r="GF4553"/>
      <c r="GG4553"/>
      <c r="GH4553"/>
    </row>
    <row r="4554" spans="187:190" s="1" customFormat="1" ht="18" customHeight="1" x14ac:dyDescent="0.2">
      <c r="GE4554"/>
      <c r="GF4554"/>
      <c r="GG4554"/>
      <c r="GH4554"/>
    </row>
    <row r="4555" spans="187:190" s="1" customFormat="1" ht="18" customHeight="1" x14ac:dyDescent="0.2">
      <c r="GE4555"/>
      <c r="GF4555"/>
      <c r="GG4555"/>
      <c r="GH4555"/>
    </row>
    <row r="4556" spans="187:190" s="1" customFormat="1" ht="18" customHeight="1" x14ac:dyDescent="0.2">
      <c r="GE4556"/>
      <c r="GF4556"/>
      <c r="GG4556"/>
      <c r="GH4556"/>
    </row>
    <row r="4557" spans="187:190" s="1" customFormat="1" ht="18" customHeight="1" x14ac:dyDescent="0.2">
      <c r="GE4557"/>
      <c r="GF4557"/>
      <c r="GG4557"/>
      <c r="GH4557"/>
    </row>
    <row r="4558" spans="187:190" s="1" customFormat="1" ht="18" customHeight="1" x14ac:dyDescent="0.2">
      <c r="GE4558"/>
      <c r="GF4558"/>
      <c r="GG4558"/>
      <c r="GH4558"/>
    </row>
    <row r="4559" spans="187:190" s="1" customFormat="1" ht="18" customHeight="1" x14ac:dyDescent="0.2">
      <c r="GE4559"/>
      <c r="GF4559"/>
      <c r="GG4559"/>
      <c r="GH4559"/>
    </row>
    <row r="4560" spans="187:190" s="1" customFormat="1" ht="18" customHeight="1" x14ac:dyDescent="0.2">
      <c r="GE4560"/>
      <c r="GF4560"/>
      <c r="GG4560"/>
      <c r="GH4560"/>
    </row>
    <row r="4561" spans="187:190" s="1" customFormat="1" ht="18" customHeight="1" x14ac:dyDescent="0.2">
      <c r="GE4561"/>
      <c r="GF4561"/>
      <c r="GG4561"/>
      <c r="GH4561"/>
    </row>
    <row r="4562" spans="187:190" s="1" customFormat="1" ht="18" customHeight="1" x14ac:dyDescent="0.2">
      <c r="GE4562"/>
      <c r="GF4562"/>
      <c r="GG4562"/>
      <c r="GH4562"/>
    </row>
    <row r="4563" spans="187:190" s="1" customFormat="1" ht="18" customHeight="1" x14ac:dyDescent="0.2">
      <c r="GE4563"/>
      <c r="GF4563"/>
      <c r="GG4563"/>
      <c r="GH4563"/>
    </row>
    <row r="4564" spans="187:190" s="1" customFormat="1" ht="18" customHeight="1" x14ac:dyDescent="0.2">
      <c r="GE4564"/>
      <c r="GF4564"/>
      <c r="GG4564"/>
      <c r="GH4564"/>
    </row>
    <row r="4565" spans="187:190" s="1" customFormat="1" ht="18" customHeight="1" x14ac:dyDescent="0.2">
      <c r="GE4565"/>
      <c r="GF4565"/>
      <c r="GG4565"/>
      <c r="GH4565"/>
    </row>
    <row r="4566" spans="187:190" s="1" customFormat="1" ht="18" customHeight="1" x14ac:dyDescent="0.2">
      <c r="GE4566"/>
      <c r="GF4566"/>
      <c r="GG4566"/>
      <c r="GH4566"/>
    </row>
    <row r="4567" spans="187:190" s="1" customFormat="1" ht="18" customHeight="1" x14ac:dyDescent="0.2">
      <c r="GE4567"/>
      <c r="GF4567"/>
      <c r="GG4567"/>
      <c r="GH4567"/>
    </row>
    <row r="4568" spans="187:190" s="1" customFormat="1" ht="18" customHeight="1" x14ac:dyDescent="0.2">
      <c r="GE4568"/>
      <c r="GF4568"/>
      <c r="GG4568"/>
      <c r="GH4568"/>
    </row>
    <row r="4569" spans="187:190" s="1" customFormat="1" ht="18" customHeight="1" x14ac:dyDescent="0.2">
      <c r="GE4569"/>
      <c r="GF4569"/>
      <c r="GG4569"/>
      <c r="GH4569"/>
    </row>
    <row r="4570" spans="187:190" s="1" customFormat="1" ht="18" customHeight="1" x14ac:dyDescent="0.2">
      <c r="GE4570"/>
      <c r="GF4570"/>
      <c r="GG4570"/>
      <c r="GH4570"/>
    </row>
    <row r="4571" spans="187:190" s="1" customFormat="1" ht="18" customHeight="1" x14ac:dyDescent="0.2">
      <c r="GE4571"/>
      <c r="GF4571"/>
      <c r="GG4571"/>
      <c r="GH4571"/>
    </row>
    <row r="4572" spans="187:190" s="1" customFormat="1" ht="18" customHeight="1" x14ac:dyDescent="0.2">
      <c r="GE4572"/>
      <c r="GF4572"/>
      <c r="GG4572"/>
      <c r="GH4572"/>
    </row>
    <row r="4573" spans="187:190" s="1" customFormat="1" ht="18" customHeight="1" x14ac:dyDescent="0.2">
      <c r="GE4573"/>
      <c r="GF4573"/>
      <c r="GG4573"/>
      <c r="GH4573"/>
    </row>
    <row r="4574" spans="187:190" s="1" customFormat="1" ht="18" customHeight="1" x14ac:dyDescent="0.2">
      <c r="GE4574"/>
      <c r="GF4574"/>
      <c r="GG4574"/>
      <c r="GH4574"/>
    </row>
    <row r="4575" spans="187:190" s="1" customFormat="1" ht="18" customHeight="1" x14ac:dyDescent="0.2">
      <c r="GE4575"/>
      <c r="GF4575"/>
      <c r="GG4575"/>
      <c r="GH4575"/>
    </row>
    <row r="4576" spans="187:190" s="1" customFormat="1" ht="18" customHeight="1" x14ac:dyDescent="0.2">
      <c r="GE4576"/>
      <c r="GF4576"/>
      <c r="GG4576"/>
      <c r="GH4576"/>
    </row>
    <row r="4577" spans="187:190" s="1" customFormat="1" ht="18" customHeight="1" x14ac:dyDescent="0.2">
      <c r="GE4577"/>
      <c r="GF4577"/>
      <c r="GG4577"/>
      <c r="GH4577"/>
    </row>
    <row r="4578" spans="187:190" s="1" customFormat="1" ht="18" customHeight="1" x14ac:dyDescent="0.2">
      <c r="GE4578"/>
      <c r="GF4578"/>
      <c r="GG4578"/>
      <c r="GH4578"/>
    </row>
    <row r="4579" spans="187:190" s="1" customFormat="1" ht="18" customHeight="1" x14ac:dyDescent="0.2">
      <c r="GE4579"/>
      <c r="GF4579"/>
      <c r="GG4579"/>
      <c r="GH4579"/>
    </row>
    <row r="4580" spans="187:190" s="1" customFormat="1" ht="18" customHeight="1" x14ac:dyDescent="0.2">
      <c r="GE4580"/>
      <c r="GF4580"/>
      <c r="GG4580"/>
      <c r="GH4580"/>
    </row>
    <row r="4581" spans="187:190" s="1" customFormat="1" ht="18" customHeight="1" x14ac:dyDescent="0.2">
      <c r="GE4581"/>
      <c r="GF4581"/>
      <c r="GG4581"/>
      <c r="GH4581"/>
    </row>
    <row r="4582" spans="187:190" s="1" customFormat="1" ht="18" customHeight="1" x14ac:dyDescent="0.2">
      <c r="GE4582"/>
      <c r="GF4582"/>
      <c r="GG4582"/>
      <c r="GH4582"/>
    </row>
    <row r="4583" spans="187:190" s="1" customFormat="1" ht="18" customHeight="1" x14ac:dyDescent="0.2">
      <c r="GE4583"/>
      <c r="GF4583"/>
      <c r="GG4583"/>
      <c r="GH4583"/>
    </row>
    <row r="4584" spans="187:190" s="1" customFormat="1" ht="18" customHeight="1" x14ac:dyDescent="0.2">
      <c r="GE4584"/>
      <c r="GF4584"/>
      <c r="GG4584"/>
      <c r="GH4584"/>
    </row>
    <row r="4585" spans="187:190" s="1" customFormat="1" ht="18" customHeight="1" x14ac:dyDescent="0.2">
      <c r="GE4585"/>
      <c r="GF4585"/>
      <c r="GG4585"/>
      <c r="GH4585"/>
    </row>
    <row r="4586" spans="187:190" s="1" customFormat="1" ht="18" customHeight="1" x14ac:dyDescent="0.2">
      <c r="GE4586"/>
      <c r="GF4586"/>
      <c r="GG4586"/>
      <c r="GH4586"/>
    </row>
    <row r="4587" spans="187:190" s="1" customFormat="1" ht="18" customHeight="1" x14ac:dyDescent="0.2">
      <c r="GE4587"/>
      <c r="GF4587"/>
      <c r="GG4587"/>
      <c r="GH4587"/>
    </row>
    <row r="4588" spans="187:190" s="1" customFormat="1" ht="18" customHeight="1" x14ac:dyDescent="0.2">
      <c r="GE4588"/>
      <c r="GF4588"/>
      <c r="GG4588"/>
      <c r="GH4588"/>
    </row>
    <row r="4589" spans="187:190" s="1" customFormat="1" ht="18" customHeight="1" x14ac:dyDescent="0.2">
      <c r="GE4589"/>
      <c r="GF4589"/>
      <c r="GG4589"/>
      <c r="GH4589"/>
    </row>
    <row r="4590" spans="187:190" s="1" customFormat="1" ht="18" customHeight="1" x14ac:dyDescent="0.2">
      <c r="GE4590"/>
      <c r="GF4590"/>
      <c r="GG4590"/>
      <c r="GH4590"/>
    </row>
    <row r="4591" spans="187:190" s="1" customFormat="1" ht="18" customHeight="1" x14ac:dyDescent="0.2">
      <c r="GE4591"/>
      <c r="GF4591"/>
      <c r="GG4591"/>
      <c r="GH4591"/>
    </row>
    <row r="4592" spans="187:190" s="1" customFormat="1" ht="18" customHeight="1" x14ac:dyDescent="0.2">
      <c r="GE4592"/>
      <c r="GF4592"/>
      <c r="GG4592"/>
      <c r="GH4592"/>
    </row>
    <row r="4593" spans="187:190" s="1" customFormat="1" ht="18" customHeight="1" x14ac:dyDescent="0.2">
      <c r="GE4593"/>
      <c r="GF4593"/>
      <c r="GG4593"/>
      <c r="GH4593"/>
    </row>
    <row r="4594" spans="187:190" s="1" customFormat="1" ht="18" customHeight="1" x14ac:dyDescent="0.2">
      <c r="GE4594"/>
      <c r="GF4594"/>
      <c r="GG4594"/>
      <c r="GH4594"/>
    </row>
    <row r="4595" spans="187:190" s="1" customFormat="1" ht="18" customHeight="1" x14ac:dyDescent="0.2">
      <c r="GE4595"/>
      <c r="GF4595"/>
      <c r="GG4595"/>
      <c r="GH4595"/>
    </row>
    <row r="4596" spans="187:190" s="1" customFormat="1" ht="18" customHeight="1" x14ac:dyDescent="0.2">
      <c r="GE4596"/>
      <c r="GF4596"/>
      <c r="GG4596"/>
      <c r="GH4596"/>
    </row>
    <row r="4597" spans="187:190" s="1" customFormat="1" ht="18" customHeight="1" x14ac:dyDescent="0.2">
      <c r="GE4597"/>
      <c r="GF4597"/>
      <c r="GG4597"/>
      <c r="GH4597"/>
    </row>
    <row r="4598" spans="187:190" s="1" customFormat="1" ht="18" customHeight="1" x14ac:dyDescent="0.2">
      <c r="GE4598"/>
      <c r="GF4598"/>
      <c r="GG4598"/>
      <c r="GH4598"/>
    </row>
    <row r="4599" spans="187:190" s="1" customFormat="1" ht="18" customHeight="1" x14ac:dyDescent="0.2">
      <c r="GE4599"/>
      <c r="GF4599"/>
      <c r="GG4599"/>
      <c r="GH4599"/>
    </row>
    <row r="4600" spans="187:190" s="1" customFormat="1" ht="18" customHeight="1" x14ac:dyDescent="0.2">
      <c r="GE4600"/>
      <c r="GF4600"/>
      <c r="GG4600"/>
      <c r="GH4600"/>
    </row>
    <row r="4601" spans="187:190" s="1" customFormat="1" ht="18" customHeight="1" x14ac:dyDescent="0.2">
      <c r="GE4601"/>
      <c r="GF4601"/>
      <c r="GG4601"/>
      <c r="GH4601"/>
    </row>
    <row r="4602" spans="187:190" s="1" customFormat="1" ht="18" customHeight="1" x14ac:dyDescent="0.2">
      <c r="GE4602"/>
      <c r="GF4602"/>
      <c r="GG4602"/>
      <c r="GH4602"/>
    </row>
    <row r="4603" spans="187:190" s="1" customFormat="1" ht="18" customHeight="1" x14ac:dyDescent="0.2">
      <c r="GE4603"/>
      <c r="GF4603"/>
      <c r="GG4603"/>
      <c r="GH4603"/>
    </row>
    <row r="4604" spans="187:190" s="1" customFormat="1" ht="18" customHeight="1" x14ac:dyDescent="0.2">
      <c r="GE4604"/>
      <c r="GF4604"/>
      <c r="GG4604"/>
      <c r="GH4604"/>
    </row>
    <row r="4605" spans="187:190" s="1" customFormat="1" ht="18" customHeight="1" x14ac:dyDescent="0.2">
      <c r="GE4605"/>
      <c r="GF4605"/>
      <c r="GG4605"/>
      <c r="GH4605"/>
    </row>
    <row r="4606" spans="187:190" s="1" customFormat="1" ht="18" customHeight="1" x14ac:dyDescent="0.2">
      <c r="GE4606"/>
      <c r="GF4606"/>
      <c r="GG4606"/>
      <c r="GH4606"/>
    </row>
    <row r="4607" spans="187:190" s="1" customFormat="1" ht="18" customHeight="1" x14ac:dyDescent="0.2">
      <c r="GE4607"/>
      <c r="GF4607"/>
      <c r="GG4607"/>
      <c r="GH4607"/>
    </row>
    <row r="4608" spans="187:190" s="1" customFormat="1" ht="18" customHeight="1" x14ac:dyDescent="0.2">
      <c r="GE4608"/>
      <c r="GF4608"/>
      <c r="GG4608"/>
      <c r="GH4608"/>
    </row>
    <row r="4609" spans="187:190" s="1" customFormat="1" ht="18" customHeight="1" x14ac:dyDescent="0.2">
      <c r="GE4609"/>
      <c r="GF4609"/>
      <c r="GG4609"/>
      <c r="GH4609"/>
    </row>
    <row r="4610" spans="187:190" s="1" customFormat="1" ht="18" customHeight="1" x14ac:dyDescent="0.2">
      <c r="GE4610"/>
      <c r="GF4610"/>
      <c r="GG4610"/>
      <c r="GH4610"/>
    </row>
    <row r="4611" spans="187:190" s="1" customFormat="1" ht="18" customHeight="1" x14ac:dyDescent="0.2">
      <c r="GE4611"/>
      <c r="GF4611"/>
      <c r="GG4611"/>
      <c r="GH4611"/>
    </row>
    <row r="4612" spans="187:190" s="1" customFormat="1" ht="18" customHeight="1" x14ac:dyDescent="0.2">
      <c r="GE4612"/>
      <c r="GF4612"/>
      <c r="GG4612"/>
      <c r="GH4612"/>
    </row>
    <row r="4613" spans="187:190" s="1" customFormat="1" ht="18" customHeight="1" x14ac:dyDescent="0.2">
      <c r="GE4613"/>
      <c r="GF4613"/>
      <c r="GG4613"/>
      <c r="GH4613"/>
    </row>
    <row r="4614" spans="187:190" s="1" customFormat="1" ht="18" customHeight="1" x14ac:dyDescent="0.2">
      <c r="GE4614"/>
      <c r="GF4614"/>
      <c r="GG4614"/>
      <c r="GH4614"/>
    </row>
    <row r="4615" spans="187:190" s="1" customFormat="1" ht="18" customHeight="1" x14ac:dyDescent="0.2">
      <c r="GE4615"/>
      <c r="GF4615"/>
      <c r="GG4615"/>
      <c r="GH4615"/>
    </row>
    <row r="4616" spans="187:190" s="1" customFormat="1" ht="18" customHeight="1" x14ac:dyDescent="0.2">
      <c r="GE4616"/>
      <c r="GF4616"/>
      <c r="GG4616"/>
      <c r="GH4616"/>
    </row>
    <row r="4617" spans="187:190" s="1" customFormat="1" ht="18" customHeight="1" x14ac:dyDescent="0.2">
      <c r="GE4617"/>
      <c r="GF4617"/>
      <c r="GG4617"/>
      <c r="GH4617"/>
    </row>
    <row r="4618" spans="187:190" s="1" customFormat="1" ht="18" customHeight="1" x14ac:dyDescent="0.2">
      <c r="GE4618"/>
      <c r="GF4618"/>
      <c r="GG4618"/>
      <c r="GH4618"/>
    </row>
    <row r="4619" spans="187:190" s="1" customFormat="1" ht="18" customHeight="1" x14ac:dyDescent="0.2">
      <c r="GE4619"/>
      <c r="GF4619"/>
      <c r="GG4619"/>
      <c r="GH4619"/>
    </row>
    <row r="4620" spans="187:190" s="1" customFormat="1" ht="18" customHeight="1" x14ac:dyDescent="0.2">
      <c r="GE4620"/>
      <c r="GF4620"/>
      <c r="GG4620"/>
      <c r="GH4620"/>
    </row>
    <row r="4621" spans="187:190" s="1" customFormat="1" ht="18" customHeight="1" x14ac:dyDescent="0.2">
      <c r="GE4621"/>
      <c r="GF4621"/>
      <c r="GG4621"/>
      <c r="GH4621"/>
    </row>
    <row r="4622" spans="187:190" s="1" customFormat="1" ht="18" customHeight="1" x14ac:dyDescent="0.2">
      <c r="GE4622"/>
      <c r="GF4622"/>
      <c r="GG4622"/>
      <c r="GH4622"/>
    </row>
    <row r="4623" spans="187:190" s="1" customFormat="1" ht="18" customHeight="1" x14ac:dyDescent="0.2">
      <c r="GE4623"/>
      <c r="GF4623"/>
      <c r="GG4623"/>
      <c r="GH4623"/>
    </row>
    <row r="4624" spans="187:190" s="1" customFormat="1" ht="18" customHeight="1" x14ac:dyDescent="0.2">
      <c r="GE4624"/>
      <c r="GF4624"/>
      <c r="GG4624"/>
      <c r="GH4624"/>
    </row>
    <row r="4625" spans="187:190" s="1" customFormat="1" ht="18" customHeight="1" x14ac:dyDescent="0.2">
      <c r="GE4625"/>
      <c r="GF4625"/>
      <c r="GG4625"/>
      <c r="GH4625"/>
    </row>
    <row r="4626" spans="187:190" s="1" customFormat="1" ht="18" customHeight="1" x14ac:dyDescent="0.2">
      <c r="GE4626"/>
      <c r="GF4626"/>
      <c r="GG4626"/>
      <c r="GH4626"/>
    </row>
    <row r="4627" spans="187:190" s="1" customFormat="1" ht="18" customHeight="1" x14ac:dyDescent="0.2">
      <c r="GE4627"/>
      <c r="GF4627"/>
      <c r="GG4627"/>
      <c r="GH4627"/>
    </row>
    <row r="4628" spans="187:190" s="1" customFormat="1" ht="18" customHeight="1" x14ac:dyDescent="0.2">
      <c r="GE4628"/>
      <c r="GF4628"/>
      <c r="GG4628"/>
      <c r="GH4628"/>
    </row>
    <row r="4629" spans="187:190" s="1" customFormat="1" ht="18" customHeight="1" x14ac:dyDescent="0.2">
      <c r="GE4629"/>
      <c r="GF4629"/>
      <c r="GG4629"/>
      <c r="GH4629"/>
    </row>
    <row r="4630" spans="187:190" s="1" customFormat="1" ht="18" customHeight="1" x14ac:dyDescent="0.2">
      <c r="GE4630"/>
      <c r="GF4630"/>
      <c r="GG4630"/>
      <c r="GH4630"/>
    </row>
    <row r="4631" spans="187:190" s="1" customFormat="1" ht="18" customHeight="1" x14ac:dyDescent="0.2">
      <c r="GE4631"/>
      <c r="GF4631"/>
      <c r="GG4631"/>
      <c r="GH4631"/>
    </row>
    <row r="4632" spans="187:190" s="1" customFormat="1" ht="18" customHeight="1" x14ac:dyDescent="0.2">
      <c r="GE4632"/>
      <c r="GF4632"/>
      <c r="GG4632"/>
      <c r="GH4632"/>
    </row>
    <row r="4633" spans="187:190" s="1" customFormat="1" ht="18" customHeight="1" x14ac:dyDescent="0.2">
      <c r="GE4633"/>
      <c r="GF4633"/>
      <c r="GG4633"/>
      <c r="GH4633"/>
    </row>
    <row r="4634" spans="187:190" s="1" customFormat="1" ht="18" customHeight="1" x14ac:dyDescent="0.2">
      <c r="GE4634"/>
      <c r="GF4634"/>
      <c r="GG4634"/>
      <c r="GH4634"/>
    </row>
    <row r="4635" spans="187:190" s="1" customFormat="1" ht="18" customHeight="1" x14ac:dyDescent="0.2">
      <c r="GE4635"/>
      <c r="GF4635"/>
      <c r="GG4635"/>
      <c r="GH4635"/>
    </row>
    <row r="4636" spans="187:190" s="1" customFormat="1" ht="18" customHeight="1" x14ac:dyDescent="0.2">
      <c r="GE4636"/>
      <c r="GF4636"/>
      <c r="GG4636"/>
      <c r="GH4636"/>
    </row>
    <row r="4637" spans="187:190" s="1" customFormat="1" ht="18" customHeight="1" x14ac:dyDescent="0.2">
      <c r="GE4637"/>
      <c r="GF4637"/>
      <c r="GG4637"/>
      <c r="GH4637"/>
    </row>
    <row r="4638" spans="187:190" s="1" customFormat="1" ht="18" customHeight="1" x14ac:dyDescent="0.2">
      <c r="GE4638"/>
      <c r="GF4638"/>
      <c r="GG4638"/>
      <c r="GH4638"/>
    </row>
    <row r="4639" spans="187:190" s="1" customFormat="1" ht="18" customHeight="1" x14ac:dyDescent="0.2">
      <c r="GE4639"/>
      <c r="GF4639"/>
      <c r="GG4639"/>
      <c r="GH4639"/>
    </row>
    <row r="4640" spans="187:190" s="1" customFormat="1" ht="18" customHeight="1" x14ac:dyDescent="0.2">
      <c r="GE4640"/>
      <c r="GF4640"/>
      <c r="GG4640"/>
      <c r="GH4640"/>
    </row>
    <row r="4641" spans="187:190" s="1" customFormat="1" ht="18" customHeight="1" x14ac:dyDescent="0.2">
      <c r="GE4641"/>
      <c r="GF4641"/>
      <c r="GG4641"/>
      <c r="GH4641"/>
    </row>
    <row r="4642" spans="187:190" s="1" customFormat="1" ht="18" customHeight="1" x14ac:dyDescent="0.2">
      <c r="GE4642"/>
      <c r="GF4642"/>
      <c r="GG4642"/>
      <c r="GH4642"/>
    </row>
    <row r="4643" spans="187:190" s="1" customFormat="1" ht="18" customHeight="1" x14ac:dyDescent="0.2">
      <c r="GE4643"/>
      <c r="GF4643"/>
      <c r="GG4643"/>
      <c r="GH4643"/>
    </row>
    <row r="4644" spans="187:190" s="1" customFormat="1" ht="18" customHeight="1" x14ac:dyDescent="0.2">
      <c r="GE4644"/>
      <c r="GF4644"/>
      <c r="GG4644"/>
      <c r="GH4644"/>
    </row>
    <row r="4645" spans="187:190" s="1" customFormat="1" ht="18" customHeight="1" x14ac:dyDescent="0.2">
      <c r="GE4645"/>
      <c r="GF4645"/>
      <c r="GG4645"/>
      <c r="GH4645"/>
    </row>
    <row r="4646" spans="187:190" s="1" customFormat="1" ht="18" customHeight="1" x14ac:dyDescent="0.2">
      <c r="GE4646"/>
      <c r="GF4646"/>
      <c r="GG4646"/>
      <c r="GH4646"/>
    </row>
    <row r="4647" spans="187:190" s="1" customFormat="1" ht="18" customHeight="1" x14ac:dyDescent="0.2">
      <c r="GE4647"/>
      <c r="GF4647"/>
      <c r="GG4647"/>
      <c r="GH4647"/>
    </row>
    <row r="4648" spans="187:190" s="1" customFormat="1" ht="18" customHeight="1" x14ac:dyDescent="0.2">
      <c r="GE4648"/>
      <c r="GF4648"/>
      <c r="GG4648"/>
      <c r="GH4648"/>
    </row>
    <row r="4649" spans="187:190" s="1" customFormat="1" ht="18" customHeight="1" x14ac:dyDescent="0.2">
      <c r="GE4649"/>
      <c r="GF4649"/>
      <c r="GG4649"/>
      <c r="GH4649"/>
    </row>
    <row r="4650" spans="187:190" s="1" customFormat="1" ht="18" customHeight="1" x14ac:dyDescent="0.2">
      <c r="GE4650"/>
      <c r="GF4650"/>
      <c r="GG4650"/>
      <c r="GH4650"/>
    </row>
    <row r="4651" spans="187:190" s="1" customFormat="1" ht="18" customHeight="1" x14ac:dyDescent="0.2">
      <c r="GE4651"/>
      <c r="GF4651"/>
      <c r="GG4651"/>
      <c r="GH4651"/>
    </row>
    <row r="4652" spans="187:190" s="1" customFormat="1" ht="18" customHeight="1" x14ac:dyDescent="0.2">
      <c r="GE4652"/>
      <c r="GF4652"/>
      <c r="GG4652"/>
      <c r="GH4652"/>
    </row>
    <row r="4653" spans="187:190" s="1" customFormat="1" ht="18" customHeight="1" x14ac:dyDescent="0.2">
      <c r="GE4653"/>
      <c r="GF4653"/>
      <c r="GG4653"/>
      <c r="GH4653"/>
    </row>
    <row r="4654" spans="187:190" s="1" customFormat="1" ht="18" customHeight="1" x14ac:dyDescent="0.2">
      <c r="GE4654"/>
      <c r="GF4654"/>
      <c r="GG4654"/>
      <c r="GH4654"/>
    </row>
    <row r="4655" spans="187:190" s="1" customFormat="1" ht="18" customHeight="1" x14ac:dyDescent="0.2">
      <c r="GE4655"/>
      <c r="GF4655"/>
      <c r="GG4655"/>
      <c r="GH4655"/>
    </row>
    <row r="4656" spans="187:190" s="1" customFormat="1" ht="18" customHeight="1" x14ac:dyDescent="0.2">
      <c r="GE4656"/>
      <c r="GF4656"/>
      <c r="GG4656"/>
      <c r="GH4656"/>
    </row>
    <row r="4657" spans="187:190" s="1" customFormat="1" ht="18" customHeight="1" x14ac:dyDescent="0.2">
      <c r="GE4657"/>
      <c r="GF4657"/>
      <c r="GG4657"/>
      <c r="GH4657"/>
    </row>
    <row r="4658" spans="187:190" s="1" customFormat="1" ht="18" customHeight="1" x14ac:dyDescent="0.2">
      <c r="GE4658"/>
      <c r="GF4658"/>
      <c r="GG4658"/>
      <c r="GH4658"/>
    </row>
    <row r="4659" spans="187:190" s="1" customFormat="1" ht="18" customHeight="1" x14ac:dyDescent="0.2">
      <c r="GE4659"/>
      <c r="GF4659"/>
      <c r="GG4659"/>
      <c r="GH4659"/>
    </row>
    <row r="4660" spans="187:190" s="1" customFormat="1" ht="18" customHeight="1" x14ac:dyDescent="0.2">
      <c r="GE4660"/>
      <c r="GF4660"/>
      <c r="GG4660"/>
      <c r="GH4660"/>
    </row>
    <row r="4661" spans="187:190" s="1" customFormat="1" ht="18" customHeight="1" x14ac:dyDescent="0.2">
      <c r="GE4661"/>
      <c r="GF4661"/>
      <c r="GG4661"/>
      <c r="GH4661"/>
    </row>
    <row r="4662" spans="187:190" s="1" customFormat="1" ht="18" customHeight="1" x14ac:dyDescent="0.2">
      <c r="GE4662"/>
      <c r="GF4662"/>
      <c r="GG4662"/>
      <c r="GH4662"/>
    </row>
    <row r="4663" spans="187:190" s="1" customFormat="1" ht="18" customHeight="1" x14ac:dyDescent="0.2">
      <c r="GE4663"/>
      <c r="GF4663"/>
      <c r="GG4663"/>
      <c r="GH4663"/>
    </row>
    <row r="4664" spans="187:190" s="1" customFormat="1" ht="18" customHeight="1" x14ac:dyDescent="0.2">
      <c r="GE4664"/>
      <c r="GF4664"/>
      <c r="GG4664"/>
      <c r="GH4664"/>
    </row>
    <row r="4665" spans="187:190" s="1" customFormat="1" ht="18" customHeight="1" x14ac:dyDescent="0.2">
      <c r="GE4665"/>
      <c r="GF4665"/>
      <c r="GG4665"/>
      <c r="GH4665"/>
    </row>
    <row r="4666" spans="187:190" s="1" customFormat="1" ht="18" customHeight="1" x14ac:dyDescent="0.2">
      <c r="GE4666"/>
      <c r="GF4666"/>
      <c r="GG4666"/>
      <c r="GH4666"/>
    </row>
    <row r="4667" spans="187:190" s="1" customFormat="1" ht="18" customHeight="1" x14ac:dyDescent="0.2">
      <c r="GE4667"/>
      <c r="GF4667"/>
      <c r="GG4667"/>
      <c r="GH4667"/>
    </row>
    <row r="4668" spans="187:190" s="1" customFormat="1" ht="18" customHeight="1" x14ac:dyDescent="0.2">
      <c r="GE4668"/>
      <c r="GF4668"/>
      <c r="GG4668"/>
      <c r="GH4668"/>
    </row>
    <row r="4669" spans="187:190" s="1" customFormat="1" ht="18" customHeight="1" x14ac:dyDescent="0.2">
      <c r="GE4669"/>
      <c r="GF4669"/>
      <c r="GG4669"/>
      <c r="GH4669"/>
    </row>
    <row r="4670" spans="187:190" s="1" customFormat="1" ht="18" customHeight="1" x14ac:dyDescent="0.2">
      <c r="GE4670"/>
      <c r="GF4670"/>
      <c r="GG4670"/>
      <c r="GH4670"/>
    </row>
    <row r="4671" spans="187:190" s="1" customFormat="1" ht="18" customHeight="1" x14ac:dyDescent="0.2">
      <c r="GE4671"/>
      <c r="GF4671"/>
      <c r="GG4671"/>
      <c r="GH4671"/>
    </row>
    <row r="4672" spans="187:190" s="1" customFormat="1" ht="18" customHeight="1" x14ac:dyDescent="0.2">
      <c r="GE4672"/>
      <c r="GF4672"/>
      <c r="GG4672"/>
      <c r="GH4672"/>
    </row>
    <row r="4673" spans="187:190" s="1" customFormat="1" ht="18" customHeight="1" x14ac:dyDescent="0.2">
      <c r="GE4673"/>
      <c r="GF4673"/>
      <c r="GG4673"/>
      <c r="GH4673"/>
    </row>
    <row r="4674" spans="187:190" s="1" customFormat="1" ht="18" customHeight="1" x14ac:dyDescent="0.2">
      <c r="GE4674"/>
      <c r="GF4674"/>
      <c r="GG4674"/>
      <c r="GH4674"/>
    </row>
    <row r="4675" spans="187:190" s="1" customFormat="1" ht="18" customHeight="1" x14ac:dyDescent="0.2">
      <c r="GE4675"/>
      <c r="GF4675"/>
      <c r="GG4675"/>
      <c r="GH4675"/>
    </row>
    <row r="4676" spans="187:190" s="1" customFormat="1" ht="18" customHeight="1" x14ac:dyDescent="0.2">
      <c r="GE4676"/>
      <c r="GF4676"/>
      <c r="GG4676"/>
      <c r="GH4676"/>
    </row>
    <row r="4677" spans="187:190" s="1" customFormat="1" ht="18" customHeight="1" x14ac:dyDescent="0.2">
      <c r="GE4677"/>
      <c r="GF4677"/>
      <c r="GG4677"/>
      <c r="GH4677"/>
    </row>
    <row r="4678" spans="187:190" s="1" customFormat="1" ht="18" customHeight="1" x14ac:dyDescent="0.2">
      <c r="GE4678"/>
      <c r="GF4678"/>
      <c r="GG4678"/>
      <c r="GH4678"/>
    </row>
    <row r="4679" spans="187:190" s="1" customFormat="1" ht="18" customHeight="1" x14ac:dyDescent="0.2">
      <c r="GE4679"/>
      <c r="GF4679"/>
      <c r="GG4679"/>
      <c r="GH4679"/>
    </row>
    <row r="4680" spans="187:190" s="1" customFormat="1" ht="18" customHeight="1" x14ac:dyDescent="0.2">
      <c r="GE4680"/>
      <c r="GF4680"/>
      <c r="GG4680"/>
      <c r="GH4680"/>
    </row>
    <row r="4681" spans="187:190" s="1" customFormat="1" ht="18" customHeight="1" x14ac:dyDescent="0.2">
      <c r="GE4681"/>
      <c r="GF4681"/>
      <c r="GG4681"/>
      <c r="GH4681"/>
    </row>
    <row r="4682" spans="187:190" s="1" customFormat="1" ht="18" customHeight="1" x14ac:dyDescent="0.2">
      <c r="GE4682"/>
      <c r="GF4682"/>
      <c r="GG4682"/>
      <c r="GH4682"/>
    </row>
    <row r="4683" spans="187:190" s="1" customFormat="1" ht="18" customHeight="1" x14ac:dyDescent="0.2">
      <c r="GE4683"/>
      <c r="GF4683"/>
      <c r="GG4683"/>
      <c r="GH4683"/>
    </row>
    <row r="4684" spans="187:190" s="1" customFormat="1" ht="18" customHeight="1" x14ac:dyDescent="0.2">
      <c r="GE4684"/>
      <c r="GF4684"/>
      <c r="GG4684"/>
      <c r="GH4684"/>
    </row>
    <row r="4685" spans="187:190" s="1" customFormat="1" ht="18" customHeight="1" x14ac:dyDescent="0.2">
      <c r="GE4685"/>
      <c r="GF4685"/>
      <c r="GG4685"/>
      <c r="GH4685"/>
    </row>
    <row r="4686" spans="187:190" s="1" customFormat="1" ht="18" customHeight="1" x14ac:dyDescent="0.2">
      <c r="GE4686"/>
      <c r="GF4686"/>
      <c r="GG4686"/>
      <c r="GH4686"/>
    </row>
    <row r="4687" spans="187:190" s="1" customFormat="1" ht="18" customHeight="1" x14ac:dyDescent="0.2">
      <c r="GE4687"/>
      <c r="GF4687"/>
      <c r="GG4687"/>
      <c r="GH4687"/>
    </row>
    <row r="4688" spans="187:190" s="1" customFormat="1" ht="18" customHeight="1" x14ac:dyDescent="0.2">
      <c r="GE4688"/>
      <c r="GF4688"/>
      <c r="GG4688"/>
      <c r="GH4688"/>
    </row>
    <row r="4689" spans="187:190" s="1" customFormat="1" ht="18" customHeight="1" x14ac:dyDescent="0.2">
      <c r="GE4689"/>
      <c r="GF4689"/>
      <c r="GG4689"/>
      <c r="GH4689"/>
    </row>
    <row r="4690" spans="187:190" s="1" customFormat="1" ht="18" customHeight="1" x14ac:dyDescent="0.2">
      <c r="GE4690"/>
      <c r="GF4690"/>
      <c r="GG4690"/>
      <c r="GH4690"/>
    </row>
    <row r="4691" spans="187:190" s="1" customFormat="1" ht="18" customHeight="1" x14ac:dyDescent="0.2">
      <c r="GE4691"/>
      <c r="GF4691"/>
      <c r="GG4691"/>
      <c r="GH4691"/>
    </row>
    <row r="4692" spans="187:190" s="1" customFormat="1" ht="18" customHeight="1" x14ac:dyDescent="0.2">
      <c r="GE4692"/>
      <c r="GF4692"/>
      <c r="GG4692"/>
      <c r="GH4692"/>
    </row>
    <row r="4693" spans="187:190" s="1" customFormat="1" ht="18" customHeight="1" x14ac:dyDescent="0.2">
      <c r="GE4693"/>
      <c r="GF4693"/>
      <c r="GG4693"/>
      <c r="GH4693"/>
    </row>
    <row r="4694" spans="187:190" s="1" customFormat="1" ht="18" customHeight="1" x14ac:dyDescent="0.2">
      <c r="GE4694"/>
      <c r="GF4694"/>
      <c r="GG4694"/>
      <c r="GH4694"/>
    </row>
    <row r="4695" spans="187:190" s="1" customFormat="1" ht="18" customHeight="1" x14ac:dyDescent="0.2">
      <c r="GE4695"/>
      <c r="GF4695"/>
      <c r="GG4695"/>
      <c r="GH4695"/>
    </row>
    <row r="4696" spans="187:190" s="1" customFormat="1" ht="18" customHeight="1" x14ac:dyDescent="0.2">
      <c r="GE4696"/>
      <c r="GF4696"/>
      <c r="GG4696"/>
      <c r="GH4696"/>
    </row>
    <row r="4697" spans="187:190" s="1" customFormat="1" ht="18" customHeight="1" x14ac:dyDescent="0.2">
      <c r="GE4697"/>
      <c r="GF4697"/>
      <c r="GG4697"/>
      <c r="GH4697"/>
    </row>
    <row r="4698" spans="187:190" s="1" customFormat="1" ht="18" customHeight="1" x14ac:dyDescent="0.2">
      <c r="GE4698"/>
      <c r="GF4698"/>
      <c r="GG4698"/>
      <c r="GH4698"/>
    </row>
    <row r="4699" spans="187:190" s="1" customFormat="1" ht="18" customHeight="1" x14ac:dyDescent="0.2">
      <c r="GE4699"/>
      <c r="GF4699"/>
      <c r="GG4699"/>
      <c r="GH4699"/>
    </row>
    <row r="4700" spans="187:190" s="1" customFormat="1" ht="18" customHeight="1" x14ac:dyDescent="0.2">
      <c r="GE4700"/>
      <c r="GF4700"/>
      <c r="GG4700"/>
      <c r="GH4700"/>
    </row>
    <row r="4701" spans="187:190" s="1" customFormat="1" ht="18" customHeight="1" x14ac:dyDescent="0.2">
      <c r="GE4701"/>
      <c r="GF4701"/>
      <c r="GG4701"/>
      <c r="GH4701"/>
    </row>
    <row r="4702" spans="187:190" s="1" customFormat="1" ht="18" customHeight="1" x14ac:dyDescent="0.2">
      <c r="GE4702"/>
      <c r="GF4702"/>
      <c r="GG4702"/>
      <c r="GH4702"/>
    </row>
    <row r="4703" spans="187:190" s="1" customFormat="1" ht="18" customHeight="1" x14ac:dyDescent="0.2">
      <c r="GE4703"/>
      <c r="GF4703"/>
      <c r="GG4703"/>
      <c r="GH4703"/>
    </row>
    <row r="4704" spans="187:190" s="1" customFormat="1" ht="18" customHeight="1" x14ac:dyDescent="0.2">
      <c r="GE4704"/>
      <c r="GF4704"/>
      <c r="GG4704"/>
      <c r="GH4704"/>
    </row>
    <row r="4705" spans="187:190" s="1" customFormat="1" ht="18" customHeight="1" x14ac:dyDescent="0.2">
      <c r="GE4705"/>
      <c r="GF4705"/>
      <c r="GG4705"/>
      <c r="GH4705"/>
    </row>
    <row r="4706" spans="187:190" s="1" customFormat="1" ht="18" customHeight="1" x14ac:dyDescent="0.2">
      <c r="GE4706"/>
      <c r="GF4706"/>
      <c r="GG4706"/>
      <c r="GH4706"/>
    </row>
    <row r="4707" spans="187:190" s="1" customFormat="1" ht="18" customHeight="1" x14ac:dyDescent="0.2">
      <c r="GE4707"/>
      <c r="GF4707"/>
      <c r="GG4707"/>
      <c r="GH4707"/>
    </row>
    <row r="4708" spans="187:190" s="1" customFormat="1" ht="18" customHeight="1" x14ac:dyDescent="0.2">
      <c r="GE4708"/>
      <c r="GF4708"/>
      <c r="GG4708"/>
      <c r="GH4708"/>
    </row>
    <row r="4709" spans="187:190" s="1" customFormat="1" ht="18" customHeight="1" x14ac:dyDescent="0.2">
      <c r="GE4709"/>
      <c r="GF4709"/>
      <c r="GG4709"/>
      <c r="GH4709"/>
    </row>
    <row r="4710" spans="187:190" s="1" customFormat="1" ht="18" customHeight="1" x14ac:dyDescent="0.2">
      <c r="GE4710"/>
      <c r="GF4710"/>
      <c r="GG4710"/>
      <c r="GH4710"/>
    </row>
    <row r="4711" spans="187:190" s="1" customFormat="1" ht="18" customHeight="1" x14ac:dyDescent="0.2">
      <c r="GE4711"/>
      <c r="GF4711"/>
      <c r="GG4711"/>
      <c r="GH4711"/>
    </row>
    <row r="4712" spans="187:190" s="1" customFormat="1" ht="18" customHeight="1" x14ac:dyDescent="0.2">
      <c r="GE4712"/>
      <c r="GF4712"/>
      <c r="GG4712"/>
      <c r="GH4712"/>
    </row>
    <row r="4713" spans="187:190" s="1" customFormat="1" ht="18" customHeight="1" x14ac:dyDescent="0.2">
      <c r="GE4713"/>
      <c r="GF4713"/>
      <c r="GG4713"/>
      <c r="GH4713"/>
    </row>
    <row r="4714" spans="187:190" s="1" customFormat="1" ht="18" customHeight="1" x14ac:dyDescent="0.2">
      <c r="GE4714"/>
      <c r="GF4714"/>
      <c r="GG4714"/>
      <c r="GH4714"/>
    </row>
    <row r="4715" spans="187:190" s="1" customFormat="1" ht="18" customHeight="1" x14ac:dyDescent="0.2">
      <c r="GE4715"/>
      <c r="GF4715"/>
      <c r="GG4715"/>
      <c r="GH4715"/>
    </row>
    <row r="4716" spans="187:190" s="1" customFormat="1" ht="18" customHeight="1" x14ac:dyDescent="0.2">
      <c r="GE4716"/>
      <c r="GF4716"/>
      <c r="GG4716"/>
      <c r="GH4716"/>
    </row>
    <row r="4717" spans="187:190" s="1" customFormat="1" ht="18" customHeight="1" x14ac:dyDescent="0.2">
      <c r="GE4717"/>
      <c r="GF4717"/>
      <c r="GG4717"/>
      <c r="GH4717"/>
    </row>
    <row r="4718" spans="187:190" s="1" customFormat="1" ht="18" customHeight="1" x14ac:dyDescent="0.2">
      <c r="GE4718"/>
      <c r="GF4718"/>
      <c r="GG4718"/>
      <c r="GH4718"/>
    </row>
    <row r="4719" spans="187:190" s="1" customFormat="1" ht="18" customHeight="1" x14ac:dyDescent="0.2">
      <c r="GE4719"/>
      <c r="GF4719"/>
      <c r="GG4719"/>
      <c r="GH4719"/>
    </row>
    <row r="4720" spans="187:190" s="1" customFormat="1" ht="18" customHeight="1" x14ac:dyDescent="0.2">
      <c r="GE4720"/>
      <c r="GF4720"/>
      <c r="GG4720"/>
      <c r="GH4720"/>
    </row>
    <row r="4721" spans="187:190" s="1" customFormat="1" ht="18" customHeight="1" x14ac:dyDescent="0.2">
      <c r="GE4721"/>
      <c r="GF4721"/>
      <c r="GG4721"/>
      <c r="GH4721"/>
    </row>
    <row r="4722" spans="187:190" s="1" customFormat="1" ht="18" customHeight="1" x14ac:dyDescent="0.2">
      <c r="GE4722"/>
      <c r="GF4722"/>
      <c r="GG4722"/>
      <c r="GH4722"/>
    </row>
    <row r="4723" spans="187:190" s="1" customFormat="1" ht="18" customHeight="1" x14ac:dyDescent="0.2">
      <c r="GE4723"/>
      <c r="GF4723"/>
      <c r="GG4723"/>
      <c r="GH4723"/>
    </row>
    <row r="4724" spans="187:190" s="1" customFormat="1" ht="18" customHeight="1" x14ac:dyDescent="0.2">
      <c r="GE4724"/>
      <c r="GF4724"/>
      <c r="GG4724"/>
      <c r="GH4724"/>
    </row>
    <row r="4725" spans="187:190" s="1" customFormat="1" ht="18" customHeight="1" x14ac:dyDescent="0.2">
      <c r="GE4725"/>
      <c r="GF4725"/>
      <c r="GG4725"/>
      <c r="GH4725"/>
    </row>
    <row r="4726" spans="187:190" s="1" customFormat="1" ht="18" customHeight="1" x14ac:dyDescent="0.2">
      <c r="GE4726"/>
      <c r="GF4726"/>
      <c r="GG4726"/>
      <c r="GH4726"/>
    </row>
    <row r="4727" spans="187:190" s="1" customFormat="1" ht="18" customHeight="1" x14ac:dyDescent="0.2">
      <c r="GE4727"/>
      <c r="GF4727"/>
      <c r="GG4727"/>
      <c r="GH4727"/>
    </row>
    <row r="4728" spans="187:190" s="1" customFormat="1" ht="18" customHeight="1" x14ac:dyDescent="0.2">
      <c r="GE4728"/>
      <c r="GF4728"/>
      <c r="GG4728"/>
      <c r="GH4728"/>
    </row>
    <row r="4729" spans="187:190" s="1" customFormat="1" ht="18" customHeight="1" x14ac:dyDescent="0.2">
      <c r="GE4729"/>
      <c r="GF4729"/>
      <c r="GG4729"/>
      <c r="GH4729"/>
    </row>
    <row r="4730" spans="187:190" s="1" customFormat="1" ht="18" customHeight="1" x14ac:dyDescent="0.2">
      <c r="GE4730"/>
      <c r="GF4730"/>
      <c r="GG4730"/>
      <c r="GH4730"/>
    </row>
    <row r="4731" spans="187:190" s="1" customFormat="1" ht="18" customHeight="1" x14ac:dyDescent="0.2">
      <c r="GE4731"/>
      <c r="GF4731"/>
      <c r="GG4731"/>
      <c r="GH4731"/>
    </row>
    <row r="4732" spans="187:190" s="1" customFormat="1" ht="18" customHeight="1" x14ac:dyDescent="0.2">
      <c r="GE4732"/>
      <c r="GF4732"/>
      <c r="GG4732"/>
      <c r="GH4732"/>
    </row>
    <row r="4733" spans="187:190" s="1" customFormat="1" ht="18" customHeight="1" x14ac:dyDescent="0.2">
      <c r="GE4733"/>
      <c r="GF4733"/>
      <c r="GG4733"/>
      <c r="GH4733"/>
    </row>
    <row r="4734" spans="187:190" s="1" customFormat="1" ht="18" customHeight="1" x14ac:dyDescent="0.2">
      <c r="GE4734"/>
      <c r="GF4734"/>
      <c r="GG4734"/>
      <c r="GH4734"/>
    </row>
    <row r="4735" spans="187:190" s="1" customFormat="1" ht="18" customHeight="1" x14ac:dyDescent="0.2">
      <c r="GE4735"/>
      <c r="GF4735"/>
      <c r="GG4735"/>
      <c r="GH4735"/>
    </row>
    <row r="4736" spans="187:190" s="1" customFormat="1" ht="18" customHeight="1" x14ac:dyDescent="0.2">
      <c r="GE4736"/>
      <c r="GF4736"/>
      <c r="GG4736"/>
      <c r="GH4736"/>
    </row>
    <row r="4737" spans="187:190" s="1" customFormat="1" ht="18" customHeight="1" x14ac:dyDescent="0.2">
      <c r="GE4737"/>
      <c r="GF4737"/>
      <c r="GG4737"/>
      <c r="GH4737"/>
    </row>
    <row r="4738" spans="187:190" s="1" customFormat="1" ht="18" customHeight="1" x14ac:dyDescent="0.2">
      <c r="GE4738"/>
      <c r="GF4738"/>
      <c r="GG4738"/>
      <c r="GH4738"/>
    </row>
    <row r="4739" spans="187:190" s="1" customFormat="1" ht="18" customHeight="1" x14ac:dyDescent="0.2">
      <c r="GE4739"/>
      <c r="GF4739"/>
      <c r="GG4739"/>
      <c r="GH4739"/>
    </row>
    <row r="4740" spans="187:190" s="1" customFormat="1" ht="18" customHeight="1" x14ac:dyDescent="0.2">
      <c r="GE4740"/>
      <c r="GF4740"/>
      <c r="GG4740"/>
      <c r="GH4740"/>
    </row>
    <row r="4741" spans="187:190" s="1" customFormat="1" ht="18" customHeight="1" x14ac:dyDescent="0.2">
      <c r="GE4741"/>
      <c r="GF4741"/>
      <c r="GG4741"/>
      <c r="GH4741"/>
    </row>
    <row r="4742" spans="187:190" s="1" customFormat="1" ht="18" customHeight="1" x14ac:dyDescent="0.2">
      <c r="GE4742"/>
      <c r="GF4742"/>
      <c r="GG4742"/>
      <c r="GH4742"/>
    </row>
    <row r="4743" spans="187:190" s="1" customFormat="1" ht="18" customHeight="1" x14ac:dyDescent="0.2">
      <c r="GE4743"/>
      <c r="GF4743"/>
      <c r="GG4743"/>
      <c r="GH4743"/>
    </row>
    <row r="4744" spans="187:190" s="1" customFormat="1" ht="18" customHeight="1" x14ac:dyDescent="0.2">
      <c r="GE4744"/>
      <c r="GF4744"/>
      <c r="GG4744"/>
      <c r="GH4744"/>
    </row>
    <row r="4745" spans="187:190" s="1" customFormat="1" ht="18" customHeight="1" x14ac:dyDescent="0.2">
      <c r="GE4745"/>
      <c r="GF4745"/>
      <c r="GG4745"/>
      <c r="GH4745"/>
    </row>
    <row r="4746" spans="187:190" s="1" customFormat="1" ht="18" customHeight="1" x14ac:dyDescent="0.2">
      <c r="GE4746"/>
      <c r="GF4746"/>
      <c r="GG4746"/>
      <c r="GH4746"/>
    </row>
    <row r="4747" spans="187:190" s="1" customFormat="1" ht="18" customHeight="1" x14ac:dyDescent="0.2">
      <c r="GE4747"/>
      <c r="GF4747"/>
      <c r="GG4747"/>
      <c r="GH4747"/>
    </row>
    <row r="4748" spans="187:190" s="1" customFormat="1" ht="18" customHeight="1" x14ac:dyDescent="0.2">
      <c r="GE4748"/>
      <c r="GF4748"/>
      <c r="GG4748"/>
      <c r="GH4748"/>
    </row>
    <row r="4749" spans="187:190" s="1" customFormat="1" ht="18" customHeight="1" x14ac:dyDescent="0.2">
      <c r="GE4749"/>
      <c r="GF4749"/>
      <c r="GG4749"/>
      <c r="GH4749"/>
    </row>
    <row r="4750" spans="187:190" s="1" customFormat="1" ht="18" customHeight="1" x14ac:dyDescent="0.2">
      <c r="GE4750"/>
      <c r="GF4750"/>
      <c r="GG4750"/>
      <c r="GH4750"/>
    </row>
    <row r="4751" spans="187:190" s="1" customFormat="1" ht="18" customHeight="1" x14ac:dyDescent="0.2">
      <c r="GE4751"/>
      <c r="GF4751"/>
      <c r="GG4751"/>
      <c r="GH4751"/>
    </row>
    <row r="4752" spans="187:190" s="1" customFormat="1" ht="18" customHeight="1" x14ac:dyDescent="0.2">
      <c r="GE4752"/>
      <c r="GF4752"/>
      <c r="GG4752"/>
      <c r="GH4752"/>
    </row>
    <row r="4753" spans="187:190" s="1" customFormat="1" ht="18" customHeight="1" x14ac:dyDescent="0.2">
      <c r="GE4753"/>
      <c r="GF4753"/>
      <c r="GG4753"/>
      <c r="GH4753"/>
    </row>
    <row r="4754" spans="187:190" s="1" customFormat="1" ht="18" customHeight="1" x14ac:dyDescent="0.2">
      <c r="GE4754"/>
      <c r="GF4754"/>
      <c r="GG4754"/>
      <c r="GH4754"/>
    </row>
    <row r="4755" spans="187:190" s="1" customFormat="1" ht="18" customHeight="1" x14ac:dyDescent="0.2">
      <c r="GE4755"/>
      <c r="GF4755"/>
      <c r="GG4755"/>
      <c r="GH4755"/>
    </row>
    <row r="4756" spans="187:190" s="1" customFormat="1" ht="18" customHeight="1" x14ac:dyDescent="0.2">
      <c r="GE4756"/>
      <c r="GF4756"/>
      <c r="GG4756"/>
      <c r="GH4756"/>
    </row>
    <row r="4757" spans="187:190" s="1" customFormat="1" ht="18" customHeight="1" x14ac:dyDescent="0.2">
      <c r="GE4757"/>
      <c r="GF4757"/>
      <c r="GG4757"/>
      <c r="GH4757"/>
    </row>
    <row r="4758" spans="187:190" s="1" customFormat="1" ht="18" customHeight="1" x14ac:dyDescent="0.2">
      <c r="GE4758"/>
      <c r="GF4758"/>
      <c r="GG4758"/>
      <c r="GH4758"/>
    </row>
    <row r="4759" spans="187:190" s="1" customFormat="1" ht="18" customHeight="1" x14ac:dyDescent="0.2">
      <c r="GE4759"/>
      <c r="GF4759"/>
      <c r="GG4759"/>
      <c r="GH4759"/>
    </row>
    <row r="4760" spans="187:190" s="1" customFormat="1" ht="18" customHeight="1" x14ac:dyDescent="0.2">
      <c r="GE4760"/>
      <c r="GF4760"/>
      <c r="GG4760"/>
      <c r="GH4760"/>
    </row>
    <row r="4761" spans="187:190" s="1" customFormat="1" ht="18" customHeight="1" x14ac:dyDescent="0.2">
      <c r="GE4761"/>
      <c r="GF4761"/>
      <c r="GG4761"/>
      <c r="GH4761"/>
    </row>
    <row r="4762" spans="187:190" s="1" customFormat="1" ht="18" customHeight="1" x14ac:dyDescent="0.2">
      <c r="GE4762"/>
      <c r="GF4762"/>
      <c r="GG4762"/>
      <c r="GH4762"/>
    </row>
    <row r="4763" spans="187:190" s="1" customFormat="1" ht="18" customHeight="1" x14ac:dyDescent="0.2">
      <c r="GE4763"/>
      <c r="GF4763"/>
      <c r="GG4763"/>
      <c r="GH4763"/>
    </row>
    <row r="4764" spans="187:190" s="1" customFormat="1" ht="18" customHeight="1" x14ac:dyDescent="0.2">
      <c r="GE4764"/>
      <c r="GF4764"/>
      <c r="GG4764"/>
      <c r="GH4764"/>
    </row>
    <row r="4765" spans="187:190" s="1" customFormat="1" ht="18" customHeight="1" x14ac:dyDescent="0.2">
      <c r="GE4765"/>
      <c r="GF4765"/>
      <c r="GG4765"/>
      <c r="GH4765"/>
    </row>
    <row r="4766" spans="187:190" s="1" customFormat="1" ht="18" customHeight="1" x14ac:dyDescent="0.2">
      <c r="GE4766"/>
      <c r="GF4766"/>
      <c r="GG4766"/>
      <c r="GH4766"/>
    </row>
    <row r="4767" spans="187:190" s="1" customFormat="1" ht="18" customHeight="1" x14ac:dyDescent="0.2">
      <c r="GE4767"/>
      <c r="GF4767"/>
      <c r="GG4767"/>
      <c r="GH4767"/>
    </row>
    <row r="4768" spans="187:190" s="1" customFormat="1" ht="18" customHeight="1" x14ac:dyDescent="0.2">
      <c r="GE4768"/>
      <c r="GF4768"/>
      <c r="GG4768"/>
      <c r="GH4768"/>
    </row>
    <row r="4769" spans="187:190" s="1" customFormat="1" ht="18" customHeight="1" x14ac:dyDescent="0.2">
      <c r="GE4769"/>
      <c r="GF4769"/>
      <c r="GG4769"/>
      <c r="GH4769"/>
    </row>
    <row r="4770" spans="187:190" s="1" customFormat="1" ht="18" customHeight="1" x14ac:dyDescent="0.2">
      <c r="GE4770"/>
      <c r="GF4770"/>
      <c r="GG4770"/>
      <c r="GH4770"/>
    </row>
    <row r="4771" spans="187:190" s="1" customFormat="1" ht="18" customHeight="1" x14ac:dyDescent="0.2">
      <c r="GE4771"/>
      <c r="GF4771"/>
      <c r="GG4771"/>
      <c r="GH4771"/>
    </row>
    <row r="4772" spans="187:190" s="1" customFormat="1" ht="18" customHeight="1" x14ac:dyDescent="0.2">
      <c r="GE4772"/>
      <c r="GF4772"/>
      <c r="GG4772"/>
      <c r="GH4772"/>
    </row>
    <row r="4773" spans="187:190" s="1" customFormat="1" ht="18" customHeight="1" x14ac:dyDescent="0.2">
      <c r="GE4773"/>
      <c r="GF4773"/>
      <c r="GG4773"/>
      <c r="GH4773"/>
    </row>
    <row r="4774" spans="187:190" s="1" customFormat="1" ht="18" customHeight="1" x14ac:dyDescent="0.2">
      <c r="GE4774"/>
      <c r="GF4774"/>
      <c r="GG4774"/>
      <c r="GH4774"/>
    </row>
    <row r="4775" spans="187:190" s="1" customFormat="1" ht="18" customHeight="1" x14ac:dyDescent="0.2">
      <c r="GE4775"/>
      <c r="GF4775"/>
      <c r="GG4775"/>
      <c r="GH4775"/>
    </row>
    <row r="4776" spans="187:190" s="1" customFormat="1" ht="18" customHeight="1" x14ac:dyDescent="0.2">
      <c r="GE4776"/>
      <c r="GF4776"/>
      <c r="GG4776"/>
      <c r="GH4776"/>
    </row>
    <row r="4777" spans="187:190" s="1" customFormat="1" ht="18" customHeight="1" x14ac:dyDescent="0.2">
      <c r="GE4777"/>
      <c r="GF4777"/>
      <c r="GG4777"/>
      <c r="GH4777"/>
    </row>
    <row r="4778" spans="187:190" s="1" customFormat="1" ht="18" customHeight="1" x14ac:dyDescent="0.2">
      <c r="GE4778"/>
      <c r="GF4778"/>
      <c r="GG4778"/>
      <c r="GH4778"/>
    </row>
    <row r="4779" spans="187:190" s="1" customFormat="1" ht="18" customHeight="1" x14ac:dyDescent="0.2">
      <c r="GE4779"/>
      <c r="GF4779"/>
      <c r="GG4779"/>
      <c r="GH4779"/>
    </row>
    <row r="4780" spans="187:190" s="1" customFormat="1" ht="18" customHeight="1" x14ac:dyDescent="0.2">
      <c r="GE4780"/>
      <c r="GF4780"/>
      <c r="GG4780"/>
      <c r="GH4780"/>
    </row>
    <row r="4781" spans="187:190" s="1" customFormat="1" ht="18" customHeight="1" x14ac:dyDescent="0.2">
      <c r="GE4781"/>
      <c r="GF4781"/>
      <c r="GG4781"/>
      <c r="GH4781"/>
    </row>
    <row r="4782" spans="187:190" s="1" customFormat="1" ht="18" customHeight="1" x14ac:dyDescent="0.2">
      <c r="GE4782"/>
      <c r="GF4782"/>
      <c r="GG4782"/>
      <c r="GH4782"/>
    </row>
    <row r="4783" spans="187:190" s="1" customFormat="1" ht="18" customHeight="1" x14ac:dyDescent="0.2">
      <c r="GE4783"/>
      <c r="GF4783"/>
      <c r="GG4783"/>
      <c r="GH4783"/>
    </row>
    <row r="4784" spans="187:190" s="1" customFormat="1" ht="18" customHeight="1" x14ac:dyDescent="0.2">
      <c r="GE4784"/>
      <c r="GF4784"/>
      <c r="GG4784"/>
      <c r="GH4784"/>
    </row>
    <row r="4785" spans="187:190" s="1" customFormat="1" ht="18" customHeight="1" x14ac:dyDescent="0.2">
      <c r="GE4785"/>
      <c r="GF4785"/>
      <c r="GG4785"/>
      <c r="GH4785"/>
    </row>
    <row r="4786" spans="187:190" s="1" customFormat="1" ht="18" customHeight="1" x14ac:dyDescent="0.2">
      <c r="GE4786"/>
      <c r="GF4786"/>
      <c r="GG4786"/>
      <c r="GH4786"/>
    </row>
    <row r="4787" spans="187:190" s="1" customFormat="1" ht="18" customHeight="1" x14ac:dyDescent="0.2">
      <c r="GE4787"/>
      <c r="GF4787"/>
      <c r="GG4787"/>
      <c r="GH4787"/>
    </row>
    <row r="4788" spans="187:190" s="1" customFormat="1" ht="18" customHeight="1" x14ac:dyDescent="0.2">
      <c r="GE4788"/>
      <c r="GF4788"/>
      <c r="GG4788"/>
      <c r="GH4788"/>
    </row>
    <row r="4789" spans="187:190" s="1" customFormat="1" ht="18" customHeight="1" x14ac:dyDescent="0.2">
      <c r="GE4789"/>
      <c r="GF4789"/>
      <c r="GG4789"/>
      <c r="GH4789"/>
    </row>
    <row r="4790" spans="187:190" s="1" customFormat="1" ht="18" customHeight="1" x14ac:dyDescent="0.2">
      <c r="GE4790"/>
      <c r="GF4790"/>
      <c r="GG4790"/>
      <c r="GH4790"/>
    </row>
    <row r="4791" spans="187:190" s="1" customFormat="1" ht="18" customHeight="1" x14ac:dyDescent="0.2">
      <c r="GE4791"/>
      <c r="GF4791"/>
      <c r="GG4791"/>
      <c r="GH4791"/>
    </row>
    <row r="4792" spans="187:190" s="1" customFormat="1" ht="18" customHeight="1" x14ac:dyDescent="0.2">
      <c r="GE4792"/>
      <c r="GF4792"/>
      <c r="GG4792"/>
      <c r="GH4792"/>
    </row>
    <row r="4793" spans="187:190" s="1" customFormat="1" ht="18" customHeight="1" x14ac:dyDescent="0.2">
      <c r="GE4793"/>
      <c r="GF4793"/>
      <c r="GG4793"/>
      <c r="GH4793"/>
    </row>
    <row r="4794" spans="187:190" s="1" customFormat="1" ht="18" customHeight="1" x14ac:dyDescent="0.2">
      <c r="GE4794"/>
      <c r="GF4794"/>
      <c r="GG4794"/>
      <c r="GH4794"/>
    </row>
    <row r="4795" spans="187:190" s="1" customFormat="1" ht="18" customHeight="1" x14ac:dyDescent="0.2">
      <c r="GE4795"/>
      <c r="GF4795"/>
      <c r="GG4795"/>
      <c r="GH4795"/>
    </row>
    <row r="4796" spans="187:190" s="1" customFormat="1" ht="18" customHeight="1" x14ac:dyDescent="0.2">
      <c r="GE4796"/>
      <c r="GF4796"/>
      <c r="GG4796"/>
      <c r="GH4796"/>
    </row>
    <row r="4797" spans="187:190" s="1" customFormat="1" ht="18" customHeight="1" x14ac:dyDescent="0.2">
      <c r="GE4797"/>
      <c r="GF4797"/>
      <c r="GG4797"/>
      <c r="GH4797"/>
    </row>
    <row r="4798" spans="187:190" s="1" customFormat="1" ht="18" customHeight="1" x14ac:dyDescent="0.2">
      <c r="GE4798"/>
      <c r="GF4798"/>
      <c r="GG4798"/>
      <c r="GH4798"/>
    </row>
    <row r="4799" spans="187:190" s="1" customFormat="1" ht="18" customHeight="1" x14ac:dyDescent="0.2">
      <c r="GE4799"/>
      <c r="GF4799"/>
      <c r="GG4799"/>
      <c r="GH4799"/>
    </row>
    <row r="4800" spans="187:190" s="1" customFormat="1" ht="18" customHeight="1" x14ac:dyDescent="0.2">
      <c r="GE4800"/>
      <c r="GF4800"/>
      <c r="GG4800"/>
      <c r="GH4800"/>
    </row>
    <row r="4801" spans="187:190" s="1" customFormat="1" ht="18" customHeight="1" x14ac:dyDescent="0.2">
      <c r="GE4801"/>
      <c r="GF4801"/>
      <c r="GG4801"/>
      <c r="GH4801"/>
    </row>
    <row r="4802" spans="187:190" s="1" customFormat="1" ht="18" customHeight="1" x14ac:dyDescent="0.2">
      <c r="GE4802"/>
      <c r="GF4802"/>
      <c r="GG4802"/>
      <c r="GH4802"/>
    </row>
    <row r="4803" spans="187:190" s="1" customFormat="1" ht="18" customHeight="1" x14ac:dyDescent="0.2">
      <c r="GE4803"/>
      <c r="GF4803"/>
      <c r="GG4803"/>
      <c r="GH4803"/>
    </row>
    <row r="4804" spans="187:190" s="1" customFormat="1" ht="18" customHeight="1" x14ac:dyDescent="0.2">
      <c r="GE4804"/>
      <c r="GF4804"/>
      <c r="GG4804"/>
      <c r="GH4804"/>
    </row>
    <row r="4805" spans="187:190" s="1" customFormat="1" ht="18" customHeight="1" x14ac:dyDescent="0.2">
      <c r="GE4805"/>
      <c r="GF4805"/>
      <c r="GG4805"/>
      <c r="GH4805"/>
    </row>
    <row r="4806" spans="187:190" s="1" customFormat="1" ht="18" customHeight="1" x14ac:dyDescent="0.2">
      <c r="GE4806"/>
      <c r="GF4806"/>
      <c r="GG4806"/>
      <c r="GH4806"/>
    </row>
    <row r="4807" spans="187:190" s="1" customFormat="1" ht="18" customHeight="1" x14ac:dyDescent="0.2">
      <c r="GE4807"/>
      <c r="GF4807"/>
      <c r="GG4807"/>
      <c r="GH4807"/>
    </row>
    <row r="4808" spans="187:190" s="1" customFormat="1" ht="18" customHeight="1" x14ac:dyDescent="0.2">
      <c r="GE4808"/>
      <c r="GF4808"/>
      <c r="GG4808"/>
      <c r="GH4808"/>
    </row>
    <row r="4809" spans="187:190" s="1" customFormat="1" ht="18" customHeight="1" x14ac:dyDescent="0.2">
      <c r="GE4809"/>
      <c r="GF4809"/>
      <c r="GG4809"/>
      <c r="GH4809"/>
    </row>
    <row r="4810" spans="187:190" s="1" customFormat="1" ht="18" customHeight="1" x14ac:dyDescent="0.2">
      <c r="GE4810"/>
      <c r="GF4810"/>
      <c r="GG4810"/>
      <c r="GH4810"/>
    </row>
    <row r="4811" spans="187:190" s="1" customFormat="1" ht="18" customHeight="1" x14ac:dyDescent="0.2">
      <c r="GE4811"/>
      <c r="GF4811"/>
      <c r="GG4811"/>
      <c r="GH4811"/>
    </row>
    <row r="4812" spans="187:190" s="1" customFormat="1" ht="18" customHeight="1" x14ac:dyDescent="0.2">
      <c r="GE4812"/>
      <c r="GF4812"/>
      <c r="GG4812"/>
      <c r="GH4812"/>
    </row>
    <row r="4813" spans="187:190" s="1" customFormat="1" ht="18" customHeight="1" x14ac:dyDescent="0.2">
      <c r="GE4813"/>
      <c r="GF4813"/>
      <c r="GG4813"/>
      <c r="GH4813"/>
    </row>
    <row r="4814" spans="187:190" s="1" customFormat="1" ht="18" customHeight="1" x14ac:dyDescent="0.2">
      <c r="GE4814"/>
      <c r="GF4814"/>
      <c r="GG4814"/>
      <c r="GH4814"/>
    </row>
    <row r="4815" spans="187:190" s="1" customFormat="1" ht="18" customHeight="1" x14ac:dyDescent="0.2">
      <c r="GE4815"/>
      <c r="GF4815"/>
      <c r="GG4815"/>
      <c r="GH4815"/>
    </row>
    <row r="4816" spans="187:190" s="1" customFormat="1" ht="18" customHeight="1" x14ac:dyDescent="0.2">
      <c r="GE4816"/>
      <c r="GF4816"/>
      <c r="GG4816"/>
      <c r="GH4816"/>
    </row>
    <row r="4817" spans="187:190" s="1" customFormat="1" ht="18" customHeight="1" x14ac:dyDescent="0.2">
      <c r="GE4817"/>
      <c r="GF4817"/>
      <c r="GG4817"/>
      <c r="GH4817"/>
    </row>
    <row r="4818" spans="187:190" s="1" customFormat="1" ht="18" customHeight="1" x14ac:dyDescent="0.2">
      <c r="GE4818"/>
      <c r="GF4818"/>
      <c r="GG4818"/>
      <c r="GH4818"/>
    </row>
    <row r="4819" spans="187:190" s="1" customFormat="1" ht="18" customHeight="1" x14ac:dyDescent="0.2">
      <c r="GE4819"/>
      <c r="GF4819"/>
      <c r="GG4819"/>
      <c r="GH4819"/>
    </row>
    <row r="4820" spans="187:190" s="1" customFormat="1" ht="18" customHeight="1" x14ac:dyDescent="0.2">
      <c r="GE4820"/>
      <c r="GF4820"/>
      <c r="GG4820"/>
      <c r="GH4820"/>
    </row>
    <row r="4821" spans="187:190" s="1" customFormat="1" ht="18" customHeight="1" x14ac:dyDescent="0.2">
      <c r="GE4821"/>
      <c r="GF4821"/>
      <c r="GG4821"/>
      <c r="GH4821"/>
    </row>
    <row r="4822" spans="187:190" s="1" customFormat="1" ht="18" customHeight="1" x14ac:dyDescent="0.2">
      <c r="GE4822"/>
      <c r="GF4822"/>
      <c r="GG4822"/>
      <c r="GH4822"/>
    </row>
    <row r="4823" spans="187:190" s="1" customFormat="1" ht="18" customHeight="1" x14ac:dyDescent="0.2">
      <c r="GE4823"/>
      <c r="GF4823"/>
      <c r="GG4823"/>
      <c r="GH4823"/>
    </row>
    <row r="4824" spans="187:190" s="1" customFormat="1" ht="18" customHeight="1" x14ac:dyDescent="0.2">
      <c r="GE4824"/>
      <c r="GF4824"/>
      <c r="GG4824"/>
      <c r="GH4824"/>
    </row>
    <row r="4825" spans="187:190" s="1" customFormat="1" ht="18" customHeight="1" x14ac:dyDescent="0.2">
      <c r="GE4825"/>
      <c r="GF4825"/>
      <c r="GG4825"/>
      <c r="GH4825"/>
    </row>
    <row r="4826" spans="187:190" s="1" customFormat="1" ht="18" customHeight="1" x14ac:dyDescent="0.2">
      <c r="GE4826"/>
      <c r="GF4826"/>
      <c r="GG4826"/>
      <c r="GH4826"/>
    </row>
    <row r="4827" spans="187:190" s="1" customFormat="1" ht="18" customHeight="1" x14ac:dyDescent="0.2">
      <c r="GE4827"/>
      <c r="GF4827"/>
      <c r="GG4827"/>
      <c r="GH4827"/>
    </row>
    <row r="4828" spans="187:190" s="1" customFormat="1" ht="18" customHeight="1" x14ac:dyDescent="0.2">
      <c r="GE4828"/>
      <c r="GF4828"/>
      <c r="GG4828"/>
      <c r="GH4828"/>
    </row>
    <row r="4829" spans="187:190" s="1" customFormat="1" ht="18" customHeight="1" x14ac:dyDescent="0.2">
      <c r="GE4829"/>
      <c r="GF4829"/>
      <c r="GG4829"/>
      <c r="GH4829"/>
    </row>
    <row r="4830" spans="187:190" s="1" customFormat="1" ht="18" customHeight="1" x14ac:dyDescent="0.2">
      <c r="GE4830"/>
      <c r="GF4830"/>
      <c r="GG4830"/>
      <c r="GH4830"/>
    </row>
    <row r="4831" spans="187:190" s="1" customFormat="1" ht="18" customHeight="1" x14ac:dyDescent="0.2">
      <c r="GE4831"/>
      <c r="GF4831"/>
      <c r="GG4831"/>
      <c r="GH4831"/>
    </row>
    <row r="4832" spans="187:190" s="1" customFormat="1" ht="18" customHeight="1" x14ac:dyDescent="0.2">
      <c r="GE4832"/>
      <c r="GF4832"/>
      <c r="GG4832"/>
      <c r="GH4832"/>
    </row>
    <row r="4833" spans="187:190" s="1" customFormat="1" ht="18" customHeight="1" x14ac:dyDescent="0.2">
      <c r="GE4833"/>
      <c r="GF4833"/>
      <c r="GG4833"/>
      <c r="GH4833"/>
    </row>
    <row r="4834" spans="187:190" s="1" customFormat="1" ht="18" customHeight="1" x14ac:dyDescent="0.2">
      <c r="GE4834"/>
      <c r="GF4834"/>
      <c r="GG4834"/>
      <c r="GH4834"/>
    </row>
    <row r="4835" spans="187:190" s="1" customFormat="1" ht="18" customHeight="1" x14ac:dyDescent="0.2">
      <c r="GE4835"/>
      <c r="GF4835"/>
      <c r="GG4835"/>
      <c r="GH4835"/>
    </row>
    <row r="4836" spans="187:190" s="1" customFormat="1" ht="18" customHeight="1" x14ac:dyDescent="0.2">
      <c r="GE4836"/>
      <c r="GF4836"/>
      <c r="GG4836"/>
      <c r="GH4836"/>
    </row>
    <row r="4837" spans="187:190" s="1" customFormat="1" ht="18" customHeight="1" x14ac:dyDescent="0.2">
      <c r="GE4837"/>
      <c r="GF4837"/>
      <c r="GG4837"/>
      <c r="GH4837"/>
    </row>
    <row r="4838" spans="187:190" s="1" customFormat="1" ht="18" customHeight="1" x14ac:dyDescent="0.2">
      <c r="GE4838"/>
      <c r="GF4838"/>
      <c r="GG4838"/>
      <c r="GH4838"/>
    </row>
    <row r="4839" spans="187:190" s="1" customFormat="1" ht="18" customHeight="1" x14ac:dyDescent="0.2">
      <c r="GE4839"/>
      <c r="GF4839"/>
      <c r="GG4839"/>
      <c r="GH4839"/>
    </row>
    <row r="4840" spans="187:190" s="1" customFormat="1" ht="18" customHeight="1" x14ac:dyDescent="0.2">
      <c r="GE4840"/>
      <c r="GF4840"/>
      <c r="GG4840"/>
      <c r="GH4840"/>
    </row>
    <row r="4841" spans="187:190" s="1" customFormat="1" ht="18" customHeight="1" x14ac:dyDescent="0.2">
      <c r="GE4841"/>
      <c r="GF4841"/>
      <c r="GG4841"/>
      <c r="GH4841"/>
    </row>
    <row r="4842" spans="187:190" s="1" customFormat="1" ht="18" customHeight="1" x14ac:dyDescent="0.2">
      <c r="GE4842"/>
      <c r="GF4842"/>
      <c r="GG4842"/>
      <c r="GH4842"/>
    </row>
    <row r="4843" spans="187:190" s="1" customFormat="1" ht="18" customHeight="1" x14ac:dyDescent="0.2">
      <c r="GE4843"/>
      <c r="GF4843"/>
      <c r="GG4843"/>
      <c r="GH4843"/>
    </row>
    <row r="4844" spans="187:190" s="1" customFormat="1" ht="18" customHeight="1" x14ac:dyDescent="0.2">
      <c r="GE4844"/>
      <c r="GF4844"/>
      <c r="GG4844"/>
      <c r="GH4844"/>
    </row>
    <row r="4845" spans="187:190" s="1" customFormat="1" ht="18" customHeight="1" x14ac:dyDescent="0.2">
      <c r="GE4845"/>
      <c r="GF4845"/>
      <c r="GG4845"/>
      <c r="GH4845"/>
    </row>
    <row r="4846" spans="187:190" s="1" customFormat="1" ht="18" customHeight="1" x14ac:dyDescent="0.2">
      <c r="GE4846"/>
      <c r="GF4846"/>
      <c r="GG4846"/>
      <c r="GH4846"/>
    </row>
    <row r="4847" spans="187:190" s="1" customFormat="1" ht="18" customHeight="1" x14ac:dyDescent="0.2">
      <c r="GE4847"/>
      <c r="GF4847"/>
      <c r="GG4847"/>
      <c r="GH4847"/>
    </row>
    <row r="4848" spans="187:190" s="1" customFormat="1" ht="18" customHeight="1" x14ac:dyDescent="0.2">
      <c r="GE4848"/>
      <c r="GF4848"/>
      <c r="GG4848"/>
      <c r="GH4848"/>
    </row>
    <row r="4849" spans="187:190" s="1" customFormat="1" ht="18" customHeight="1" x14ac:dyDescent="0.2">
      <c r="GE4849"/>
      <c r="GF4849"/>
      <c r="GG4849"/>
      <c r="GH4849"/>
    </row>
    <row r="4850" spans="187:190" s="1" customFormat="1" ht="18" customHeight="1" x14ac:dyDescent="0.2">
      <c r="GE4850"/>
      <c r="GF4850"/>
      <c r="GG4850"/>
      <c r="GH4850"/>
    </row>
    <row r="4851" spans="187:190" s="1" customFormat="1" ht="18" customHeight="1" x14ac:dyDescent="0.2">
      <c r="GE4851"/>
      <c r="GF4851"/>
      <c r="GG4851"/>
      <c r="GH4851"/>
    </row>
    <row r="4852" spans="187:190" s="1" customFormat="1" ht="18" customHeight="1" x14ac:dyDescent="0.2">
      <c r="GE4852"/>
      <c r="GF4852"/>
      <c r="GG4852"/>
      <c r="GH4852"/>
    </row>
    <row r="4853" spans="187:190" s="1" customFormat="1" ht="18" customHeight="1" x14ac:dyDescent="0.2">
      <c r="GE4853"/>
      <c r="GF4853"/>
      <c r="GG4853"/>
      <c r="GH4853"/>
    </row>
    <row r="4854" spans="187:190" s="1" customFormat="1" ht="18" customHeight="1" x14ac:dyDescent="0.2">
      <c r="GE4854"/>
      <c r="GF4854"/>
      <c r="GG4854"/>
      <c r="GH4854"/>
    </row>
    <row r="4855" spans="187:190" s="1" customFormat="1" ht="18" customHeight="1" x14ac:dyDescent="0.2">
      <c r="GE4855"/>
      <c r="GF4855"/>
      <c r="GG4855"/>
      <c r="GH4855"/>
    </row>
    <row r="4856" spans="187:190" s="1" customFormat="1" ht="18" customHeight="1" x14ac:dyDescent="0.2">
      <c r="GE4856"/>
      <c r="GF4856"/>
      <c r="GG4856"/>
      <c r="GH4856"/>
    </row>
    <row r="4857" spans="187:190" s="1" customFormat="1" ht="18" customHeight="1" x14ac:dyDescent="0.2">
      <c r="GE4857"/>
      <c r="GF4857"/>
      <c r="GG4857"/>
      <c r="GH4857"/>
    </row>
    <row r="4858" spans="187:190" s="1" customFormat="1" ht="18" customHeight="1" x14ac:dyDescent="0.2">
      <c r="GE4858"/>
      <c r="GF4858"/>
      <c r="GG4858"/>
      <c r="GH4858"/>
    </row>
    <row r="4859" spans="187:190" s="1" customFormat="1" ht="18" customHeight="1" x14ac:dyDescent="0.2">
      <c r="GE4859"/>
      <c r="GF4859"/>
      <c r="GG4859"/>
      <c r="GH4859"/>
    </row>
    <row r="4860" spans="187:190" s="1" customFormat="1" ht="18" customHeight="1" x14ac:dyDescent="0.2">
      <c r="GE4860"/>
      <c r="GF4860"/>
      <c r="GG4860"/>
      <c r="GH4860"/>
    </row>
    <row r="4861" spans="187:190" s="1" customFormat="1" ht="18" customHeight="1" x14ac:dyDescent="0.2">
      <c r="GE4861"/>
      <c r="GF4861"/>
      <c r="GG4861"/>
      <c r="GH4861"/>
    </row>
    <row r="4862" spans="187:190" s="1" customFormat="1" ht="18" customHeight="1" x14ac:dyDescent="0.2">
      <c r="GE4862"/>
      <c r="GF4862"/>
      <c r="GG4862"/>
      <c r="GH4862"/>
    </row>
    <row r="4863" spans="187:190" s="1" customFormat="1" ht="18" customHeight="1" x14ac:dyDescent="0.2">
      <c r="GE4863"/>
      <c r="GF4863"/>
      <c r="GG4863"/>
      <c r="GH4863"/>
    </row>
    <row r="4864" spans="187:190" s="1" customFormat="1" ht="18" customHeight="1" x14ac:dyDescent="0.2">
      <c r="GE4864"/>
      <c r="GF4864"/>
      <c r="GG4864"/>
      <c r="GH4864"/>
    </row>
    <row r="4865" spans="187:190" s="1" customFormat="1" ht="18" customHeight="1" x14ac:dyDescent="0.2">
      <c r="GE4865"/>
      <c r="GF4865"/>
      <c r="GG4865"/>
      <c r="GH4865"/>
    </row>
    <row r="4866" spans="187:190" s="1" customFormat="1" ht="18" customHeight="1" x14ac:dyDescent="0.2">
      <c r="GE4866"/>
      <c r="GF4866"/>
      <c r="GG4866"/>
      <c r="GH4866"/>
    </row>
    <row r="4867" spans="187:190" s="1" customFormat="1" ht="18" customHeight="1" x14ac:dyDescent="0.2">
      <c r="GE4867"/>
      <c r="GF4867"/>
      <c r="GG4867"/>
      <c r="GH4867"/>
    </row>
    <row r="4868" spans="187:190" s="1" customFormat="1" ht="18" customHeight="1" x14ac:dyDescent="0.2">
      <c r="GE4868"/>
      <c r="GF4868"/>
      <c r="GG4868"/>
      <c r="GH4868"/>
    </row>
    <row r="4869" spans="187:190" s="1" customFormat="1" ht="18" customHeight="1" x14ac:dyDescent="0.2">
      <c r="GE4869"/>
      <c r="GF4869"/>
      <c r="GG4869"/>
      <c r="GH4869"/>
    </row>
    <row r="4870" spans="187:190" s="1" customFormat="1" ht="18" customHeight="1" x14ac:dyDescent="0.2">
      <c r="GE4870"/>
      <c r="GF4870"/>
      <c r="GG4870"/>
      <c r="GH4870"/>
    </row>
    <row r="4871" spans="187:190" s="1" customFormat="1" ht="18" customHeight="1" x14ac:dyDescent="0.2">
      <c r="GE4871"/>
      <c r="GF4871"/>
      <c r="GG4871"/>
      <c r="GH4871"/>
    </row>
    <row r="4872" spans="187:190" s="1" customFormat="1" ht="18" customHeight="1" x14ac:dyDescent="0.2">
      <c r="GE4872"/>
      <c r="GF4872"/>
      <c r="GG4872"/>
      <c r="GH4872"/>
    </row>
    <row r="4873" spans="187:190" s="1" customFormat="1" ht="18" customHeight="1" x14ac:dyDescent="0.2">
      <c r="GE4873"/>
      <c r="GF4873"/>
      <c r="GG4873"/>
      <c r="GH4873"/>
    </row>
    <row r="4874" spans="187:190" s="1" customFormat="1" ht="18" customHeight="1" x14ac:dyDescent="0.2">
      <c r="GE4874"/>
      <c r="GF4874"/>
      <c r="GG4874"/>
      <c r="GH4874"/>
    </row>
    <row r="4875" spans="187:190" s="1" customFormat="1" ht="18" customHeight="1" x14ac:dyDescent="0.2">
      <c r="GE4875"/>
      <c r="GF4875"/>
      <c r="GG4875"/>
      <c r="GH4875"/>
    </row>
    <row r="4876" spans="187:190" s="1" customFormat="1" ht="18" customHeight="1" x14ac:dyDescent="0.2">
      <c r="GE4876"/>
      <c r="GF4876"/>
      <c r="GG4876"/>
      <c r="GH4876"/>
    </row>
    <row r="4877" spans="187:190" s="1" customFormat="1" ht="18" customHeight="1" x14ac:dyDescent="0.2">
      <c r="GE4877"/>
      <c r="GF4877"/>
      <c r="GG4877"/>
      <c r="GH4877"/>
    </row>
    <row r="4878" spans="187:190" s="1" customFormat="1" ht="18" customHeight="1" x14ac:dyDescent="0.2">
      <c r="GE4878"/>
      <c r="GF4878"/>
      <c r="GG4878"/>
      <c r="GH4878"/>
    </row>
    <row r="4879" spans="187:190" s="1" customFormat="1" ht="18" customHeight="1" x14ac:dyDescent="0.2">
      <c r="GE4879"/>
      <c r="GF4879"/>
      <c r="GG4879"/>
      <c r="GH4879"/>
    </row>
    <row r="4880" spans="187:190" s="1" customFormat="1" ht="18" customHeight="1" x14ac:dyDescent="0.2">
      <c r="GE4880"/>
      <c r="GF4880"/>
      <c r="GG4880"/>
      <c r="GH4880"/>
    </row>
    <row r="4881" spans="187:190" s="1" customFormat="1" ht="18" customHeight="1" x14ac:dyDescent="0.2">
      <c r="GE4881"/>
      <c r="GF4881"/>
      <c r="GG4881"/>
      <c r="GH4881"/>
    </row>
    <row r="4882" spans="187:190" s="1" customFormat="1" ht="18" customHeight="1" x14ac:dyDescent="0.2">
      <c r="GE4882"/>
      <c r="GF4882"/>
      <c r="GG4882"/>
      <c r="GH4882"/>
    </row>
    <row r="4883" spans="187:190" s="1" customFormat="1" ht="18" customHeight="1" x14ac:dyDescent="0.2">
      <c r="GE4883"/>
      <c r="GF4883"/>
      <c r="GG4883"/>
      <c r="GH4883"/>
    </row>
    <row r="4884" spans="187:190" s="1" customFormat="1" ht="18" customHeight="1" x14ac:dyDescent="0.2">
      <c r="GE4884"/>
      <c r="GF4884"/>
      <c r="GG4884"/>
      <c r="GH4884"/>
    </row>
    <row r="4885" spans="187:190" s="1" customFormat="1" ht="18" customHeight="1" x14ac:dyDescent="0.2">
      <c r="GE4885"/>
      <c r="GF4885"/>
      <c r="GG4885"/>
      <c r="GH4885"/>
    </row>
    <row r="4886" spans="187:190" s="1" customFormat="1" ht="18" customHeight="1" x14ac:dyDescent="0.2">
      <c r="GE4886"/>
      <c r="GF4886"/>
      <c r="GG4886"/>
      <c r="GH4886"/>
    </row>
    <row r="4887" spans="187:190" s="1" customFormat="1" ht="18" customHeight="1" x14ac:dyDescent="0.2">
      <c r="GE4887"/>
      <c r="GF4887"/>
      <c r="GG4887"/>
      <c r="GH4887"/>
    </row>
    <row r="4888" spans="187:190" s="1" customFormat="1" ht="18" customHeight="1" x14ac:dyDescent="0.2">
      <c r="GE4888"/>
      <c r="GF4888"/>
      <c r="GG4888"/>
      <c r="GH4888"/>
    </row>
    <row r="4889" spans="187:190" s="1" customFormat="1" ht="18" customHeight="1" x14ac:dyDescent="0.2">
      <c r="GE4889"/>
      <c r="GF4889"/>
      <c r="GG4889"/>
      <c r="GH4889"/>
    </row>
    <row r="4890" spans="187:190" s="1" customFormat="1" ht="18" customHeight="1" x14ac:dyDescent="0.2">
      <c r="GE4890"/>
      <c r="GF4890"/>
      <c r="GG4890"/>
      <c r="GH4890"/>
    </row>
    <row r="4891" spans="187:190" s="1" customFormat="1" ht="18" customHeight="1" x14ac:dyDescent="0.2">
      <c r="GE4891"/>
      <c r="GF4891"/>
      <c r="GG4891"/>
      <c r="GH4891"/>
    </row>
    <row r="4892" spans="187:190" s="1" customFormat="1" ht="18" customHeight="1" x14ac:dyDescent="0.2">
      <c r="GE4892"/>
      <c r="GF4892"/>
      <c r="GG4892"/>
      <c r="GH4892"/>
    </row>
    <row r="4893" spans="187:190" s="1" customFormat="1" ht="18" customHeight="1" x14ac:dyDescent="0.2">
      <c r="GE4893"/>
      <c r="GF4893"/>
      <c r="GG4893"/>
      <c r="GH4893"/>
    </row>
    <row r="4894" spans="187:190" s="1" customFormat="1" ht="18" customHeight="1" x14ac:dyDescent="0.2">
      <c r="GE4894"/>
      <c r="GF4894"/>
      <c r="GG4894"/>
      <c r="GH4894"/>
    </row>
    <row r="4895" spans="187:190" s="1" customFormat="1" ht="18" customHeight="1" x14ac:dyDescent="0.2">
      <c r="GE4895"/>
      <c r="GF4895"/>
      <c r="GG4895"/>
      <c r="GH4895"/>
    </row>
    <row r="4896" spans="187:190" s="1" customFormat="1" ht="18" customHeight="1" x14ac:dyDescent="0.2">
      <c r="GE4896"/>
      <c r="GF4896"/>
      <c r="GG4896"/>
      <c r="GH4896"/>
    </row>
    <row r="4897" spans="187:190" s="1" customFormat="1" ht="18" customHeight="1" x14ac:dyDescent="0.2">
      <c r="GE4897"/>
      <c r="GF4897"/>
      <c r="GG4897"/>
      <c r="GH4897"/>
    </row>
    <row r="4898" spans="187:190" s="1" customFormat="1" ht="18" customHeight="1" x14ac:dyDescent="0.2">
      <c r="GE4898"/>
      <c r="GF4898"/>
      <c r="GG4898"/>
      <c r="GH4898"/>
    </row>
    <row r="4899" spans="187:190" s="1" customFormat="1" ht="18" customHeight="1" x14ac:dyDescent="0.2">
      <c r="GE4899"/>
      <c r="GF4899"/>
      <c r="GG4899"/>
      <c r="GH4899"/>
    </row>
    <row r="4900" spans="187:190" s="1" customFormat="1" ht="18" customHeight="1" x14ac:dyDescent="0.2">
      <c r="GE4900"/>
      <c r="GF4900"/>
      <c r="GG4900"/>
      <c r="GH4900"/>
    </row>
    <row r="4901" spans="187:190" s="1" customFormat="1" ht="18" customHeight="1" x14ac:dyDescent="0.2">
      <c r="GE4901"/>
      <c r="GF4901"/>
      <c r="GG4901"/>
      <c r="GH4901"/>
    </row>
    <row r="4902" spans="187:190" s="1" customFormat="1" ht="18" customHeight="1" x14ac:dyDescent="0.2">
      <c r="GE4902"/>
      <c r="GF4902"/>
      <c r="GG4902"/>
      <c r="GH4902"/>
    </row>
    <row r="4903" spans="187:190" s="1" customFormat="1" ht="18" customHeight="1" x14ac:dyDescent="0.2">
      <c r="GE4903"/>
      <c r="GF4903"/>
      <c r="GG4903"/>
      <c r="GH4903"/>
    </row>
    <row r="4904" spans="187:190" s="1" customFormat="1" ht="18" customHeight="1" x14ac:dyDescent="0.2">
      <c r="GE4904"/>
      <c r="GF4904"/>
      <c r="GG4904"/>
      <c r="GH4904"/>
    </row>
    <row r="4905" spans="187:190" s="1" customFormat="1" ht="18" customHeight="1" x14ac:dyDescent="0.2">
      <c r="GE4905"/>
      <c r="GF4905"/>
      <c r="GG4905"/>
      <c r="GH4905"/>
    </row>
    <row r="4906" spans="187:190" s="1" customFormat="1" ht="18" customHeight="1" x14ac:dyDescent="0.2">
      <c r="GE4906"/>
      <c r="GF4906"/>
      <c r="GG4906"/>
      <c r="GH4906"/>
    </row>
    <row r="4907" spans="187:190" s="1" customFormat="1" ht="18" customHeight="1" x14ac:dyDescent="0.2">
      <c r="GE4907"/>
      <c r="GF4907"/>
      <c r="GG4907"/>
      <c r="GH4907"/>
    </row>
    <row r="4908" spans="187:190" s="1" customFormat="1" ht="18" customHeight="1" x14ac:dyDescent="0.2">
      <c r="GE4908"/>
      <c r="GF4908"/>
      <c r="GG4908"/>
      <c r="GH4908"/>
    </row>
    <row r="4909" spans="187:190" s="1" customFormat="1" ht="18" customHeight="1" x14ac:dyDescent="0.2">
      <c r="GE4909"/>
      <c r="GF4909"/>
      <c r="GG4909"/>
      <c r="GH4909"/>
    </row>
    <row r="4910" spans="187:190" s="1" customFormat="1" ht="18" customHeight="1" x14ac:dyDescent="0.2">
      <c r="GE4910"/>
      <c r="GF4910"/>
      <c r="GG4910"/>
      <c r="GH4910"/>
    </row>
    <row r="4911" spans="187:190" s="1" customFormat="1" ht="18" customHeight="1" x14ac:dyDescent="0.2">
      <c r="GE4911"/>
      <c r="GF4911"/>
      <c r="GG4911"/>
      <c r="GH4911"/>
    </row>
    <row r="4912" spans="187:190" s="1" customFormat="1" ht="18" customHeight="1" x14ac:dyDescent="0.2">
      <c r="GE4912"/>
      <c r="GF4912"/>
      <c r="GG4912"/>
      <c r="GH4912"/>
    </row>
    <row r="4913" spans="187:190" s="1" customFormat="1" ht="18" customHeight="1" x14ac:dyDescent="0.2">
      <c r="GE4913"/>
      <c r="GF4913"/>
      <c r="GG4913"/>
      <c r="GH4913"/>
    </row>
    <row r="4914" spans="187:190" s="1" customFormat="1" ht="18" customHeight="1" x14ac:dyDescent="0.2">
      <c r="GE4914"/>
      <c r="GF4914"/>
      <c r="GG4914"/>
      <c r="GH4914"/>
    </row>
    <row r="4915" spans="187:190" s="1" customFormat="1" ht="18" customHeight="1" x14ac:dyDescent="0.2">
      <c r="GE4915"/>
      <c r="GF4915"/>
      <c r="GG4915"/>
      <c r="GH4915"/>
    </row>
    <row r="4916" spans="187:190" s="1" customFormat="1" ht="18" customHeight="1" x14ac:dyDescent="0.2">
      <c r="GE4916"/>
      <c r="GF4916"/>
      <c r="GG4916"/>
      <c r="GH4916"/>
    </row>
    <row r="4917" spans="187:190" s="1" customFormat="1" ht="18" customHeight="1" x14ac:dyDescent="0.2">
      <c r="GE4917"/>
      <c r="GF4917"/>
      <c r="GG4917"/>
      <c r="GH4917"/>
    </row>
    <row r="4918" spans="187:190" s="1" customFormat="1" ht="18" customHeight="1" x14ac:dyDescent="0.2">
      <c r="GE4918"/>
      <c r="GF4918"/>
      <c r="GG4918"/>
      <c r="GH4918"/>
    </row>
    <row r="4919" spans="187:190" s="1" customFormat="1" ht="18" customHeight="1" x14ac:dyDescent="0.2">
      <c r="GE4919"/>
      <c r="GF4919"/>
      <c r="GG4919"/>
      <c r="GH4919"/>
    </row>
    <row r="4920" spans="187:190" s="1" customFormat="1" ht="18" customHeight="1" x14ac:dyDescent="0.2">
      <c r="GE4920"/>
      <c r="GF4920"/>
      <c r="GG4920"/>
      <c r="GH4920"/>
    </row>
    <row r="4921" spans="187:190" s="1" customFormat="1" ht="18" customHeight="1" x14ac:dyDescent="0.2">
      <c r="GE4921"/>
      <c r="GF4921"/>
      <c r="GG4921"/>
      <c r="GH4921"/>
    </row>
    <row r="4922" spans="187:190" s="1" customFormat="1" ht="18" customHeight="1" x14ac:dyDescent="0.2">
      <c r="GE4922"/>
      <c r="GF4922"/>
      <c r="GG4922"/>
      <c r="GH4922"/>
    </row>
    <row r="4923" spans="187:190" s="1" customFormat="1" ht="18" customHeight="1" x14ac:dyDescent="0.2">
      <c r="GE4923"/>
      <c r="GF4923"/>
      <c r="GG4923"/>
      <c r="GH4923"/>
    </row>
    <row r="4924" spans="187:190" s="1" customFormat="1" ht="18" customHeight="1" x14ac:dyDescent="0.2">
      <c r="GE4924"/>
      <c r="GF4924"/>
      <c r="GG4924"/>
      <c r="GH4924"/>
    </row>
    <row r="4925" spans="187:190" s="1" customFormat="1" ht="18" customHeight="1" x14ac:dyDescent="0.2">
      <c r="GE4925"/>
      <c r="GF4925"/>
      <c r="GG4925"/>
      <c r="GH4925"/>
    </row>
    <row r="4926" spans="187:190" s="1" customFormat="1" ht="18" customHeight="1" x14ac:dyDescent="0.2">
      <c r="GE4926"/>
      <c r="GF4926"/>
      <c r="GG4926"/>
      <c r="GH4926"/>
    </row>
    <row r="4927" spans="187:190" s="1" customFormat="1" ht="18" customHeight="1" x14ac:dyDescent="0.2">
      <c r="GE4927"/>
      <c r="GF4927"/>
      <c r="GG4927"/>
      <c r="GH4927"/>
    </row>
    <row r="4928" spans="187:190" s="1" customFormat="1" ht="18" customHeight="1" x14ac:dyDescent="0.2">
      <c r="GE4928"/>
      <c r="GF4928"/>
      <c r="GG4928"/>
      <c r="GH4928"/>
    </row>
    <row r="4929" spans="187:190" s="1" customFormat="1" ht="18" customHeight="1" x14ac:dyDescent="0.2">
      <c r="GE4929"/>
      <c r="GF4929"/>
      <c r="GG4929"/>
      <c r="GH4929"/>
    </row>
    <row r="4930" spans="187:190" s="1" customFormat="1" ht="18" customHeight="1" x14ac:dyDescent="0.2">
      <c r="GE4930"/>
      <c r="GF4930"/>
      <c r="GG4930"/>
      <c r="GH4930"/>
    </row>
    <row r="4931" spans="187:190" s="1" customFormat="1" ht="18" customHeight="1" x14ac:dyDescent="0.2">
      <c r="GE4931"/>
      <c r="GF4931"/>
      <c r="GG4931"/>
      <c r="GH4931"/>
    </row>
    <row r="4932" spans="187:190" s="1" customFormat="1" ht="18" customHeight="1" x14ac:dyDescent="0.2">
      <c r="GE4932"/>
      <c r="GF4932"/>
      <c r="GG4932"/>
      <c r="GH4932"/>
    </row>
    <row r="4933" spans="187:190" s="1" customFormat="1" ht="18" customHeight="1" x14ac:dyDescent="0.2">
      <c r="GE4933"/>
      <c r="GF4933"/>
      <c r="GG4933"/>
      <c r="GH4933"/>
    </row>
    <row r="4934" spans="187:190" s="1" customFormat="1" ht="18" customHeight="1" x14ac:dyDescent="0.2">
      <c r="GE4934"/>
      <c r="GF4934"/>
      <c r="GG4934"/>
      <c r="GH4934"/>
    </row>
    <row r="4935" spans="187:190" s="1" customFormat="1" ht="18" customHeight="1" x14ac:dyDescent="0.2">
      <c r="GE4935"/>
      <c r="GF4935"/>
      <c r="GG4935"/>
      <c r="GH4935"/>
    </row>
    <row r="4936" spans="187:190" s="1" customFormat="1" ht="18" customHeight="1" x14ac:dyDescent="0.2">
      <c r="GE4936"/>
      <c r="GF4936"/>
      <c r="GG4936"/>
      <c r="GH4936"/>
    </row>
    <row r="4937" spans="187:190" s="1" customFormat="1" ht="18" customHeight="1" x14ac:dyDescent="0.2">
      <c r="GE4937"/>
      <c r="GF4937"/>
      <c r="GG4937"/>
      <c r="GH4937"/>
    </row>
    <row r="4938" spans="187:190" s="1" customFormat="1" ht="18" customHeight="1" x14ac:dyDescent="0.2">
      <c r="GE4938"/>
      <c r="GF4938"/>
      <c r="GG4938"/>
      <c r="GH4938"/>
    </row>
    <row r="4939" spans="187:190" s="1" customFormat="1" ht="18" customHeight="1" x14ac:dyDescent="0.2">
      <c r="GE4939"/>
      <c r="GF4939"/>
      <c r="GG4939"/>
      <c r="GH4939"/>
    </row>
    <row r="4940" spans="187:190" s="1" customFormat="1" ht="18" customHeight="1" x14ac:dyDescent="0.2">
      <c r="GE4940"/>
      <c r="GF4940"/>
      <c r="GG4940"/>
      <c r="GH4940"/>
    </row>
    <row r="4941" spans="187:190" s="1" customFormat="1" ht="18" customHeight="1" x14ac:dyDescent="0.2">
      <c r="GE4941"/>
      <c r="GF4941"/>
      <c r="GG4941"/>
      <c r="GH4941"/>
    </row>
    <row r="4942" spans="187:190" s="1" customFormat="1" ht="18" customHeight="1" x14ac:dyDescent="0.2">
      <c r="GE4942"/>
      <c r="GF4942"/>
      <c r="GG4942"/>
      <c r="GH4942"/>
    </row>
    <row r="4943" spans="187:190" s="1" customFormat="1" ht="18" customHeight="1" x14ac:dyDescent="0.2">
      <c r="GE4943"/>
      <c r="GF4943"/>
      <c r="GG4943"/>
      <c r="GH4943"/>
    </row>
    <row r="4944" spans="187:190" s="1" customFormat="1" ht="18" customHeight="1" x14ac:dyDescent="0.2">
      <c r="GE4944"/>
      <c r="GF4944"/>
      <c r="GG4944"/>
      <c r="GH4944"/>
    </row>
    <row r="4945" spans="187:190" s="1" customFormat="1" ht="18" customHeight="1" x14ac:dyDescent="0.2">
      <c r="GE4945"/>
      <c r="GF4945"/>
      <c r="GG4945"/>
      <c r="GH4945"/>
    </row>
    <row r="4946" spans="187:190" s="1" customFormat="1" ht="18" customHeight="1" x14ac:dyDescent="0.2">
      <c r="GE4946"/>
      <c r="GF4946"/>
      <c r="GG4946"/>
      <c r="GH4946"/>
    </row>
    <row r="4947" spans="187:190" s="1" customFormat="1" ht="18" customHeight="1" x14ac:dyDescent="0.2">
      <c r="GE4947"/>
      <c r="GF4947"/>
      <c r="GG4947"/>
      <c r="GH4947"/>
    </row>
    <row r="4948" spans="187:190" s="1" customFormat="1" ht="18" customHeight="1" x14ac:dyDescent="0.2">
      <c r="GE4948"/>
      <c r="GF4948"/>
      <c r="GG4948"/>
      <c r="GH4948"/>
    </row>
    <row r="4949" spans="187:190" s="1" customFormat="1" ht="18" customHeight="1" x14ac:dyDescent="0.2">
      <c r="GE4949"/>
      <c r="GF4949"/>
      <c r="GG4949"/>
      <c r="GH4949"/>
    </row>
    <row r="4950" spans="187:190" s="1" customFormat="1" ht="18" customHeight="1" x14ac:dyDescent="0.2">
      <c r="GE4950"/>
      <c r="GF4950"/>
      <c r="GG4950"/>
      <c r="GH4950"/>
    </row>
    <row r="4951" spans="187:190" s="1" customFormat="1" ht="18" customHeight="1" x14ac:dyDescent="0.2">
      <c r="GE4951"/>
      <c r="GF4951"/>
      <c r="GG4951"/>
      <c r="GH4951"/>
    </row>
    <row r="4952" spans="187:190" s="1" customFormat="1" ht="18" customHeight="1" x14ac:dyDescent="0.2">
      <c r="GE4952"/>
      <c r="GF4952"/>
      <c r="GG4952"/>
      <c r="GH4952"/>
    </row>
    <row r="4953" spans="187:190" s="1" customFormat="1" ht="18" customHeight="1" x14ac:dyDescent="0.2">
      <c r="GE4953"/>
      <c r="GF4953"/>
      <c r="GG4953"/>
      <c r="GH4953"/>
    </row>
    <row r="4954" spans="187:190" s="1" customFormat="1" ht="18" customHeight="1" x14ac:dyDescent="0.2">
      <c r="GE4954"/>
      <c r="GF4954"/>
      <c r="GG4954"/>
      <c r="GH4954"/>
    </row>
    <row r="4955" spans="187:190" s="1" customFormat="1" ht="18" customHeight="1" x14ac:dyDescent="0.2">
      <c r="GE4955"/>
      <c r="GF4955"/>
      <c r="GG4955"/>
      <c r="GH4955"/>
    </row>
    <row r="4956" spans="187:190" s="1" customFormat="1" ht="18" customHeight="1" x14ac:dyDescent="0.2">
      <c r="GE4956"/>
      <c r="GF4956"/>
      <c r="GG4956"/>
      <c r="GH4956"/>
    </row>
    <row r="4957" spans="187:190" s="1" customFormat="1" ht="18" customHeight="1" x14ac:dyDescent="0.2">
      <c r="GE4957"/>
      <c r="GF4957"/>
      <c r="GG4957"/>
      <c r="GH4957"/>
    </row>
    <row r="4958" spans="187:190" s="1" customFormat="1" ht="18" customHeight="1" x14ac:dyDescent="0.2">
      <c r="GE4958"/>
      <c r="GF4958"/>
      <c r="GG4958"/>
      <c r="GH4958"/>
    </row>
    <row r="4959" spans="187:190" s="1" customFormat="1" ht="18" customHeight="1" x14ac:dyDescent="0.2">
      <c r="GE4959"/>
      <c r="GF4959"/>
      <c r="GG4959"/>
      <c r="GH4959"/>
    </row>
    <row r="4960" spans="187:190" s="1" customFormat="1" ht="18" customHeight="1" x14ac:dyDescent="0.2">
      <c r="GE4960"/>
      <c r="GF4960"/>
      <c r="GG4960"/>
      <c r="GH4960"/>
    </row>
    <row r="4961" spans="187:190" s="1" customFormat="1" ht="18" customHeight="1" x14ac:dyDescent="0.2">
      <c r="GE4961"/>
      <c r="GF4961"/>
      <c r="GG4961"/>
      <c r="GH4961"/>
    </row>
    <row r="4962" spans="187:190" s="1" customFormat="1" ht="18" customHeight="1" x14ac:dyDescent="0.2">
      <c r="GE4962"/>
      <c r="GF4962"/>
      <c r="GG4962"/>
      <c r="GH4962"/>
    </row>
    <row r="4963" spans="187:190" s="1" customFormat="1" ht="18" customHeight="1" x14ac:dyDescent="0.2">
      <c r="GE4963"/>
      <c r="GF4963"/>
      <c r="GG4963"/>
      <c r="GH4963"/>
    </row>
    <row r="4964" spans="187:190" s="1" customFormat="1" ht="18" customHeight="1" x14ac:dyDescent="0.2">
      <c r="GE4964"/>
      <c r="GF4964"/>
      <c r="GG4964"/>
      <c r="GH4964"/>
    </row>
    <row r="4965" spans="187:190" s="1" customFormat="1" ht="18" customHeight="1" x14ac:dyDescent="0.2">
      <c r="GE4965"/>
      <c r="GF4965"/>
      <c r="GG4965"/>
      <c r="GH4965"/>
    </row>
    <row r="4966" spans="187:190" s="1" customFormat="1" ht="18" customHeight="1" x14ac:dyDescent="0.2">
      <c r="GE4966"/>
      <c r="GF4966"/>
      <c r="GG4966"/>
      <c r="GH4966"/>
    </row>
    <row r="4967" spans="187:190" s="1" customFormat="1" ht="18" customHeight="1" x14ac:dyDescent="0.2">
      <c r="GE4967"/>
      <c r="GF4967"/>
      <c r="GG4967"/>
      <c r="GH4967"/>
    </row>
    <row r="4968" spans="187:190" s="1" customFormat="1" ht="18" customHeight="1" x14ac:dyDescent="0.2">
      <c r="GE4968"/>
      <c r="GF4968"/>
      <c r="GG4968"/>
      <c r="GH4968"/>
    </row>
    <row r="4969" spans="187:190" s="1" customFormat="1" ht="18" customHeight="1" x14ac:dyDescent="0.2">
      <c r="GE4969"/>
      <c r="GF4969"/>
      <c r="GG4969"/>
      <c r="GH4969"/>
    </row>
    <row r="4970" spans="187:190" s="1" customFormat="1" ht="18" customHeight="1" x14ac:dyDescent="0.2">
      <c r="GE4970"/>
      <c r="GF4970"/>
      <c r="GG4970"/>
      <c r="GH4970"/>
    </row>
    <row r="4971" spans="187:190" s="1" customFormat="1" ht="18" customHeight="1" x14ac:dyDescent="0.2">
      <c r="GE4971"/>
      <c r="GF4971"/>
      <c r="GG4971"/>
      <c r="GH4971"/>
    </row>
    <row r="4972" spans="187:190" s="1" customFormat="1" ht="18" customHeight="1" x14ac:dyDescent="0.2">
      <c r="GE4972"/>
      <c r="GF4972"/>
      <c r="GG4972"/>
      <c r="GH4972"/>
    </row>
    <row r="4973" spans="187:190" s="1" customFormat="1" ht="18" customHeight="1" x14ac:dyDescent="0.2">
      <c r="GE4973"/>
      <c r="GF4973"/>
      <c r="GG4973"/>
      <c r="GH4973"/>
    </row>
    <row r="4974" spans="187:190" s="1" customFormat="1" ht="18" customHeight="1" x14ac:dyDescent="0.2">
      <c r="GE4974"/>
      <c r="GF4974"/>
      <c r="GG4974"/>
      <c r="GH4974"/>
    </row>
    <row r="4975" spans="187:190" s="1" customFormat="1" ht="18" customHeight="1" x14ac:dyDescent="0.2">
      <c r="GE4975"/>
      <c r="GF4975"/>
      <c r="GG4975"/>
      <c r="GH4975"/>
    </row>
    <row r="4976" spans="187:190" s="1" customFormat="1" ht="18" customHeight="1" x14ac:dyDescent="0.2">
      <c r="GE4976"/>
      <c r="GF4976"/>
      <c r="GG4976"/>
      <c r="GH4976"/>
    </row>
    <row r="4977" spans="187:190" s="1" customFormat="1" ht="18" customHeight="1" x14ac:dyDescent="0.2">
      <c r="GE4977"/>
      <c r="GF4977"/>
      <c r="GG4977"/>
      <c r="GH4977"/>
    </row>
    <row r="4978" spans="187:190" s="1" customFormat="1" ht="18" customHeight="1" x14ac:dyDescent="0.2">
      <c r="GE4978"/>
      <c r="GF4978"/>
      <c r="GG4978"/>
      <c r="GH4978"/>
    </row>
    <row r="4979" spans="187:190" s="1" customFormat="1" ht="18" customHeight="1" x14ac:dyDescent="0.2">
      <c r="GE4979"/>
      <c r="GF4979"/>
      <c r="GG4979"/>
      <c r="GH4979"/>
    </row>
    <row r="4980" spans="187:190" s="1" customFormat="1" ht="18" customHeight="1" x14ac:dyDescent="0.2">
      <c r="GE4980"/>
      <c r="GF4980"/>
      <c r="GG4980"/>
      <c r="GH4980"/>
    </row>
    <row r="4981" spans="187:190" s="1" customFormat="1" ht="18" customHeight="1" x14ac:dyDescent="0.2">
      <c r="GE4981"/>
      <c r="GF4981"/>
      <c r="GG4981"/>
      <c r="GH4981"/>
    </row>
    <row r="4982" spans="187:190" s="1" customFormat="1" ht="18" customHeight="1" x14ac:dyDescent="0.2">
      <c r="GE4982"/>
      <c r="GF4982"/>
      <c r="GG4982"/>
      <c r="GH4982"/>
    </row>
    <row r="4983" spans="187:190" s="1" customFormat="1" ht="18" customHeight="1" x14ac:dyDescent="0.2">
      <c r="GE4983"/>
      <c r="GF4983"/>
      <c r="GG4983"/>
      <c r="GH4983"/>
    </row>
    <row r="4984" spans="187:190" s="1" customFormat="1" ht="18" customHeight="1" x14ac:dyDescent="0.2">
      <c r="GE4984"/>
      <c r="GF4984"/>
      <c r="GG4984"/>
      <c r="GH4984"/>
    </row>
    <row r="4985" spans="187:190" s="1" customFormat="1" ht="18" customHeight="1" x14ac:dyDescent="0.2">
      <c r="GE4985"/>
      <c r="GF4985"/>
      <c r="GG4985"/>
      <c r="GH4985"/>
    </row>
    <row r="4986" spans="187:190" s="1" customFormat="1" ht="18" customHeight="1" x14ac:dyDescent="0.2">
      <c r="GE4986"/>
      <c r="GF4986"/>
      <c r="GG4986"/>
      <c r="GH4986"/>
    </row>
    <row r="4987" spans="187:190" s="1" customFormat="1" ht="18" customHeight="1" x14ac:dyDescent="0.2">
      <c r="GE4987"/>
      <c r="GF4987"/>
      <c r="GG4987"/>
      <c r="GH4987"/>
    </row>
    <row r="4988" spans="187:190" s="1" customFormat="1" ht="18" customHeight="1" x14ac:dyDescent="0.2">
      <c r="GE4988"/>
      <c r="GF4988"/>
      <c r="GG4988"/>
      <c r="GH4988"/>
    </row>
    <row r="4989" spans="187:190" s="1" customFormat="1" ht="18" customHeight="1" x14ac:dyDescent="0.2">
      <c r="GE4989"/>
      <c r="GF4989"/>
      <c r="GG4989"/>
      <c r="GH4989"/>
    </row>
    <row r="4990" spans="187:190" s="1" customFormat="1" ht="18" customHeight="1" x14ac:dyDescent="0.2">
      <c r="GE4990"/>
      <c r="GF4990"/>
      <c r="GG4990"/>
      <c r="GH4990"/>
    </row>
    <row r="4991" spans="187:190" s="1" customFormat="1" ht="18" customHeight="1" x14ac:dyDescent="0.2">
      <c r="GE4991"/>
      <c r="GF4991"/>
      <c r="GG4991"/>
      <c r="GH4991"/>
    </row>
    <row r="4992" spans="187:190" s="1" customFormat="1" ht="18" customHeight="1" x14ac:dyDescent="0.2">
      <c r="GE4992"/>
      <c r="GF4992"/>
      <c r="GG4992"/>
      <c r="GH4992"/>
    </row>
    <row r="4993" spans="187:190" s="1" customFormat="1" ht="18" customHeight="1" x14ac:dyDescent="0.2">
      <c r="GE4993"/>
      <c r="GF4993"/>
      <c r="GG4993"/>
      <c r="GH4993"/>
    </row>
    <row r="4994" spans="187:190" s="1" customFormat="1" ht="18" customHeight="1" x14ac:dyDescent="0.2">
      <c r="GE4994"/>
      <c r="GF4994"/>
      <c r="GG4994"/>
      <c r="GH4994"/>
    </row>
    <row r="4995" spans="187:190" s="1" customFormat="1" ht="18" customHeight="1" x14ac:dyDescent="0.2">
      <c r="GE4995"/>
      <c r="GF4995"/>
      <c r="GG4995"/>
      <c r="GH4995"/>
    </row>
    <row r="4996" spans="187:190" s="1" customFormat="1" ht="18" customHeight="1" x14ac:dyDescent="0.2">
      <c r="GE4996"/>
      <c r="GF4996"/>
      <c r="GG4996"/>
      <c r="GH4996"/>
    </row>
    <row r="4997" spans="187:190" s="1" customFormat="1" ht="18" customHeight="1" x14ac:dyDescent="0.2">
      <c r="GE4997"/>
      <c r="GF4997"/>
      <c r="GG4997"/>
      <c r="GH4997"/>
    </row>
    <row r="4998" spans="187:190" s="1" customFormat="1" ht="18" customHeight="1" x14ac:dyDescent="0.2">
      <c r="GE4998"/>
      <c r="GF4998"/>
      <c r="GG4998"/>
      <c r="GH4998"/>
    </row>
    <row r="4999" spans="187:190" s="1" customFormat="1" ht="18" customHeight="1" x14ac:dyDescent="0.2">
      <c r="GE4999"/>
      <c r="GF4999"/>
      <c r="GG4999"/>
      <c r="GH4999"/>
    </row>
    <row r="5000" spans="187:190" s="1" customFormat="1" ht="18" customHeight="1" x14ac:dyDescent="0.2">
      <c r="GE5000"/>
      <c r="GF5000"/>
      <c r="GG5000"/>
      <c r="GH5000"/>
    </row>
    <row r="5001" spans="187:190" s="1" customFormat="1" ht="18" customHeight="1" x14ac:dyDescent="0.2">
      <c r="GE5001"/>
      <c r="GF5001"/>
      <c r="GG5001"/>
      <c r="GH5001"/>
    </row>
    <row r="5002" spans="187:190" s="1" customFormat="1" ht="18" customHeight="1" x14ac:dyDescent="0.2">
      <c r="GE5002"/>
      <c r="GF5002"/>
      <c r="GG5002"/>
      <c r="GH5002"/>
    </row>
    <row r="5003" spans="187:190" s="1" customFormat="1" ht="18" customHeight="1" x14ac:dyDescent="0.2">
      <c r="GE5003"/>
      <c r="GF5003"/>
      <c r="GG5003"/>
      <c r="GH5003"/>
    </row>
    <row r="5004" spans="187:190" s="1" customFormat="1" ht="18" customHeight="1" x14ac:dyDescent="0.2">
      <c r="GE5004"/>
      <c r="GF5004"/>
      <c r="GG5004"/>
      <c r="GH5004"/>
    </row>
    <row r="5005" spans="187:190" s="1" customFormat="1" ht="18" customHeight="1" x14ac:dyDescent="0.2">
      <c r="GE5005"/>
      <c r="GF5005"/>
      <c r="GG5005"/>
      <c r="GH5005"/>
    </row>
    <row r="5006" spans="187:190" s="1" customFormat="1" ht="18" customHeight="1" x14ac:dyDescent="0.2">
      <c r="GE5006"/>
      <c r="GF5006"/>
      <c r="GG5006"/>
      <c r="GH5006"/>
    </row>
    <row r="5007" spans="187:190" s="1" customFormat="1" ht="18" customHeight="1" x14ac:dyDescent="0.2">
      <c r="GE5007"/>
      <c r="GF5007"/>
      <c r="GG5007"/>
      <c r="GH5007"/>
    </row>
    <row r="5008" spans="187:190" s="1" customFormat="1" ht="18" customHeight="1" x14ac:dyDescent="0.2">
      <c r="GE5008"/>
      <c r="GF5008"/>
      <c r="GG5008"/>
      <c r="GH5008"/>
    </row>
    <row r="5009" spans="187:190" s="1" customFormat="1" ht="18" customHeight="1" x14ac:dyDescent="0.2">
      <c r="GE5009"/>
      <c r="GF5009"/>
      <c r="GG5009"/>
      <c r="GH5009"/>
    </row>
    <row r="5010" spans="187:190" s="1" customFormat="1" ht="18" customHeight="1" x14ac:dyDescent="0.2">
      <c r="GE5010"/>
      <c r="GF5010"/>
      <c r="GG5010"/>
      <c r="GH5010"/>
    </row>
    <row r="5011" spans="187:190" s="1" customFormat="1" ht="18" customHeight="1" x14ac:dyDescent="0.2">
      <c r="GE5011"/>
      <c r="GF5011"/>
      <c r="GG5011"/>
      <c r="GH5011"/>
    </row>
    <row r="5012" spans="187:190" s="1" customFormat="1" ht="18" customHeight="1" x14ac:dyDescent="0.2">
      <c r="GE5012"/>
      <c r="GF5012"/>
      <c r="GG5012"/>
      <c r="GH5012"/>
    </row>
    <row r="5013" spans="187:190" s="1" customFormat="1" ht="18" customHeight="1" x14ac:dyDescent="0.2">
      <c r="GE5013"/>
      <c r="GF5013"/>
      <c r="GG5013"/>
      <c r="GH5013"/>
    </row>
    <row r="5014" spans="187:190" s="1" customFormat="1" ht="18" customHeight="1" x14ac:dyDescent="0.2">
      <c r="GE5014"/>
      <c r="GF5014"/>
      <c r="GG5014"/>
      <c r="GH5014"/>
    </row>
    <row r="5015" spans="187:190" s="1" customFormat="1" ht="18" customHeight="1" x14ac:dyDescent="0.2">
      <c r="GE5015"/>
      <c r="GF5015"/>
      <c r="GG5015"/>
      <c r="GH5015"/>
    </row>
    <row r="5016" spans="187:190" s="1" customFormat="1" ht="18" customHeight="1" x14ac:dyDescent="0.2">
      <c r="GE5016"/>
      <c r="GF5016"/>
      <c r="GG5016"/>
      <c r="GH5016"/>
    </row>
    <row r="5017" spans="187:190" s="1" customFormat="1" ht="18" customHeight="1" x14ac:dyDescent="0.2">
      <c r="GE5017"/>
      <c r="GF5017"/>
      <c r="GG5017"/>
      <c r="GH5017"/>
    </row>
    <row r="5018" spans="187:190" s="1" customFormat="1" ht="18" customHeight="1" x14ac:dyDescent="0.2">
      <c r="GE5018"/>
      <c r="GF5018"/>
      <c r="GG5018"/>
      <c r="GH5018"/>
    </row>
    <row r="5019" spans="187:190" s="1" customFormat="1" ht="18" customHeight="1" x14ac:dyDescent="0.2">
      <c r="GE5019"/>
      <c r="GF5019"/>
      <c r="GG5019"/>
      <c r="GH5019"/>
    </row>
    <row r="5020" spans="187:190" s="1" customFormat="1" ht="18" customHeight="1" x14ac:dyDescent="0.2">
      <c r="GE5020"/>
      <c r="GF5020"/>
      <c r="GG5020"/>
      <c r="GH5020"/>
    </row>
    <row r="5021" spans="187:190" s="1" customFormat="1" ht="18" customHeight="1" x14ac:dyDescent="0.2">
      <c r="GE5021"/>
      <c r="GF5021"/>
      <c r="GG5021"/>
      <c r="GH5021"/>
    </row>
    <row r="5022" spans="187:190" s="1" customFormat="1" ht="18" customHeight="1" x14ac:dyDescent="0.2">
      <c r="GE5022"/>
      <c r="GF5022"/>
      <c r="GG5022"/>
      <c r="GH5022"/>
    </row>
    <row r="5023" spans="187:190" s="1" customFormat="1" ht="18" customHeight="1" x14ac:dyDescent="0.2">
      <c r="GE5023"/>
      <c r="GF5023"/>
      <c r="GG5023"/>
      <c r="GH5023"/>
    </row>
    <row r="5024" spans="187:190" s="1" customFormat="1" ht="18" customHeight="1" x14ac:dyDescent="0.2">
      <c r="GE5024"/>
      <c r="GF5024"/>
      <c r="GG5024"/>
      <c r="GH5024"/>
    </row>
    <row r="5025" spans="187:190" s="1" customFormat="1" ht="18" customHeight="1" x14ac:dyDescent="0.2">
      <c r="GE5025"/>
      <c r="GF5025"/>
      <c r="GG5025"/>
      <c r="GH5025"/>
    </row>
    <row r="5026" spans="187:190" s="1" customFormat="1" ht="18" customHeight="1" x14ac:dyDescent="0.2">
      <c r="GE5026"/>
      <c r="GF5026"/>
      <c r="GG5026"/>
      <c r="GH5026"/>
    </row>
    <row r="5027" spans="187:190" s="1" customFormat="1" ht="18" customHeight="1" x14ac:dyDescent="0.2">
      <c r="GE5027"/>
      <c r="GF5027"/>
      <c r="GG5027"/>
      <c r="GH5027"/>
    </row>
    <row r="5028" spans="187:190" s="1" customFormat="1" ht="18" customHeight="1" x14ac:dyDescent="0.2">
      <c r="GE5028"/>
      <c r="GF5028"/>
      <c r="GG5028"/>
      <c r="GH5028"/>
    </row>
    <row r="5029" spans="187:190" s="1" customFormat="1" ht="18" customHeight="1" x14ac:dyDescent="0.2">
      <c r="GE5029"/>
      <c r="GF5029"/>
      <c r="GG5029"/>
      <c r="GH5029"/>
    </row>
    <row r="5030" spans="187:190" s="1" customFormat="1" ht="18" customHeight="1" x14ac:dyDescent="0.2">
      <c r="GE5030"/>
      <c r="GF5030"/>
      <c r="GG5030"/>
      <c r="GH5030"/>
    </row>
    <row r="5031" spans="187:190" s="1" customFormat="1" ht="18" customHeight="1" x14ac:dyDescent="0.2">
      <c r="GE5031"/>
      <c r="GF5031"/>
      <c r="GG5031"/>
      <c r="GH5031"/>
    </row>
    <row r="5032" spans="187:190" s="1" customFormat="1" ht="18" customHeight="1" x14ac:dyDescent="0.2">
      <c r="GE5032"/>
      <c r="GF5032"/>
      <c r="GG5032"/>
      <c r="GH5032"/>
    </row>
    <row r="5033" spans="187:190" s="1" customFormat="1" ht="18" customHeight="1" x14ac:dyDescent="0.2">
      <c r="GE5033"/>
      <c r="GF5033"/>
      <c r="GG5033"/>
      <c r="GH5033"/>
    </row>
    <row r="5034" spans="187:190" s="1" customFormat="1" ht="18" customHeight="1" x14ac:dyDescent="0.2">
      <c r="GE5034"/>
      <c r="GF5034"/>
      <c r="GG5034"/>
      <c r="GH5034"/>
    </row>
    <row r="5035" spans="187:190" s="1" customFormat="1" ht="18" customHeight="1" x14ac:dyDescent="0.2">
      <c r="GE5035"/>
      <c r="GF5035"/>
      <c r="GG5035"/>
      <c r="GH5035"/>
    </row>
    <row r="5036" spans="187:190" s="1" customFormat="1" ht="18" customHeight="1" x14ac:dyDescent="0.2">
      <c r="GE5036"/>
      <c r="GF5036"/>
      <c r="GG5036"/>
      <c r="GH5036"/>
    </row>
    <row r="5037" spans="187:190" s="1" customFormat="1" ht="18" customHeight="1" x14ac:dyDescent="0.2">
      <c r="GE5037"/>
      <c r="GF5037"/>
      <c r="GG5037"/>
      <c r="GH5037"/>
    </row>
    <row r="5038" spans="187:190" s="1" customFormat="1" ht="18" customHeight="1" x14ac:dyDescent="0.2">
      <c r="GE5038"/>
      <c r="GF5038"/>
      <c r="GG5038"/>
      <c r="GH5038"/>
    </row>
    <row r="5039" spans="187:190" s="1" customFormat="1" ht="18" customHeight="1" x14ac:dyDescent="0.2">
      <c r="GE5039"/>
      <c r="GF5039"/>
      <c r="GG5039"/>
      <c r="GH5039"/>
    </row>
    <row r="5040" spans="187:190" s="1" customFormat="1" ht="18" customHeight="1" x14ac:dyDescent="0.2">
      <c r="GE5040"/>
      <c r="GF5040"/>
      <c r="GG5040"/>
      <c r="GH5040"/>
    </row>
    <row r="5041" spans="187:190" s="1" customFormat="1" ht="18" customHeight="1" x14ac:dyDescent="0.2">
      <c r="GE5041"/>
      <c r="GF5041"/>
      <c r="GG5041"/>
      <c r="GH5041"/>
    </row>
    <row r="5042" spans="187:190" s="1" customFormat="1" ht="18" customHeight="1" x14ac:dyDescent="0.2">
      <c r="GE5042"/>
      <c r="GF5042"/>
      <c r="GG5042"/>
      <c r="GH5042"/>
    </row>
    <row r="5043" spans="187:190" s="1" customFormat="1" ht="18" customHeight="1" x14ac:dyDescent="0.2">
      <c r="GE5043"/>
      <c r="GF5043"/>
      <c r="GG5043"/>
      <c r="GH5043"/>
    </row>
    <row r="5044" spans="187:190" s="1" customFormat="1" ht="18" customHeight="1" x14ac:dyDescent="0.2">
      <c r="GE5044"/>
      <c r="GF5044"/>
      <c r="GG5044"/>
      <c r="GH5044"/>
    </row>
    <row r="5045" spans="187:190" s="1" customFormat="1" ht="18" customHeight="1" x14ac:dyDescent="0.2">
      <c r="GE5045"/>
      <c r="GF5045"/>
      <c r="GG5045"/>
      <c r="GH5045"/>
    </row>
    <row r="5046" spans="187:190" s="1" customFormat="1" ht="18" customHeight="1" x14ac:dyDescent="0.2">
      <c r="GE5046"/>
      <c r="GF5046"/>
      <c r="GG5046"/>
      <c r="GH5046"/>
    </row>
    <row r="5047" spans="187:190" s="1" customFormat="1" ht="18" customHeight="1" x14ac:dyDescent="0.2">
      <c r="GE5047"/>
      <c r="GF5047"/>
      <c r="GG5047"/>
      <c r="GH5047"/>
    </row>
    <row r="5048" spans="187:190" s="1" customFormat="1" ht="18" customHeight="1" x14ac:dyDescent="0.2">
      <c r="GE5048"/>
      <c r="GF5048"/>
      <c r="GG5048"/>
      <c r="GH5048"/>
    </row>
    <row r="5049" spans="187:190" s="1" customFormat="1" ht="18" customHeight="1" x14ac:dyDescent="0.2">
      <c r="GE5049"/>
      <c r="GF5049"/>
      <c r="GG5049"/>
      <c r="GH5049"/>
    </row>
    <row r="5050" spans="187:190" s="1" customFormat="1" ht="18" customHeight="1" x14ac:dyDescent="0.2">
      <c r="GE5050"/>
      <c r="GF5050"/>
      <c r="GG5050"/>
      <c r="GH5050"/>
    </row>
    <row r="5051" spans="187:190" s="1" customFormat="1" ht="18" customHeight="1" x14ac:dyDescent="0.2">
      <c r="GE5051"/>
      <c r="GF5051"/>
      <c r="GG5051"/>
      <c r="GH5051"/>
    </row>
    <row r="5052" spans="187:190" s="1" customFormat="1" ht="18" customHeight="1" x14ac:dyDescent="0.2">
      <c r="GE5052"/>
      <c r="GF5052"/>
      <c r="GG5052"/>
      <c r="GH5052"/>
    </row>
    <row r="5053" spans="187:190" s="1" customFormat="1" ht="18" customHeight="1" x14ac:dyDescent="0.2">
      <c r="GE5053"/>
      <c r="GF5053"/>
      <c r="GG5053"/>
      <c r="GH5053"/>
    </row>
    <row r="5054" spans="187:190" s="1" customFormat="1" ht="18" customHeight="1" x14ac:dyDescent="0.2">
      <c r="GE5054"/>
      <c r="GF5054"/>
      <c r="GG5054"/>
      <c r="GH5054"/>
    </row>
    <row r="5055" spans="187:190" s="1" customFormat="1" ht="18" customHeight="1" x14ac:dyDescent="0.2">
      <c r="GE5055"/>
      <c r="GF5055"/>
      <c r="GG5055"/>
      <c r="GH5055"/>
    </row>
    <row r="5056" spans="187:190" s="1" customFormat="1" ht="18" customHeight="1" x14ac:dyDescent="0.2">
      <c r="GE5056"/>
      <c r="GF5056"/>
      <c r="GG5056"/>
      <c r="GH5056"/>
    </row>
    <row r="5057" spans="187:190" s="1" customFormat="1" ht="18" customHeight="1" x14ac:dyDescent="0.2">
      <c r="GE5057"/>
      <c r="GF5057"/>
      <c r="GG5057"/>
      <c r="GH5057"/>
    </row>
    <row r="5058" spans="187:190" s="1" customFormat="1" ht="18" customHeight="1" x14ac:dyDescent="0.2">
      <c r="GE5058"/>
      <c r="GF5058"/>
      <c r="GG5058"/>
      <c r="GH5058"/>
    </row>
    <row r="5059" spans="187:190" s="1" customFormat="1" ht="18" customHeight="1" x14ac:dyDescent="0.2">
      <c r="GE5059"/>
      <c r="GF5059"/>
      <c r="GG5059"/>
      <c r="GH5059"/>
    </row>
    <row r="5060" spans="187:190" s="1" customFormat="1" ht="18" customHeight="1" x14ac:dyDescent="0.2">
      <c r="GE5060"/>
      <c r="GF5060"/>
      <c r="GG5060"/>
      <c r="GH5060"/>
    </row>
    <row r="5061" spans="187:190" s="1" customFormat="1" ht="18" customHeight="1" x14ac:dyDescent="0.2">
      <c r="GE5061"/>
      <c r="GF5061"/>
      <c r="GG5061"/>
      <c r="GH5061"/>
    </row>
    <row r="5062" spans="187:190" s="1" customFormat="1" ht="18" customHeight="1" x14ac:dyDescent="0.2">
      <c r="GE5062"/>
      <c r="GF5062"/>
      <c r="GG5062"/>
      <c r="GH5062"/>
    </row>
    <row r="5063" spans="187:190" s="1" customFormat="1" ht="18" customHeight="1" x14ac:dyDescent="0.2">
      <c r="GE5063"/>
      <c r="GF5063"/>
      <c r="GG5063"/>
      <c r="GH5063"/>
    </row>
    <row r="5064" spans="187:190" s="1" customFormat="1" ht="18" customHeight="1" x14ac:dyDescent="0.2">
      <c r="GE5064"/>
      <c r="GF5064"/>
      <c r="GG5064"/>
      <c r="GH5064"/>
    </row>
    <row r="5065" spans="187:190" s="1" customFormat="1" ht="18" customHeight="1" x14ac:dyDescent="0.2">
      <c r="GE5065"/>
      <c r="GF5065"/>
      <c r="GG5065"/>
      <c r="GH5065"/>
    </row>
    <row r="5066" spans="187:190" s="1" customFormat="1" ht="18" customHeight="1" x14ac:dyDescent="0.2">
      <c r="GE5066"/>
      <c r="GF5066"/>
      <c r="GG5066"/>
      <c r="GH5066"/>
    </row>
    <row r="5067" spans="187:190" s="1" customFormat="1" ht="18" customHeight="1" x14ac:dyDescent="0.2">
      <c r="GE5067"/>
      <c r="GF5067"/>
      <c r="GG5067"/>
      <c r="GH5067"/>
    </row>
    <row r="5068" spans="187:190" s="1" customFormat="1" ht="18" customHeight="1" x14ac:dyDescent="0.2">
      <c r="GE5068"/>
      <c r="GF5068"/>
      <c r="GG5068"/>
      <c r="GH5068"/>
    </row>
    <row r="5069" spans="187:190" s="1" customFormat="1" ht="18" customHeight="1" x14ac:dyDescent="0.2">
      <c r="GE5069"/>
      <c r="GF5069"/>
      <c r="GG5069"/>
      <c r="GH5069"/>
    </row>
    <row r="5070" spans="187:190" s="1" customFormat="1" ht="18" customHeight="1" x14ac:dyDescent="0.2">
      <c r="GE5070"/>
      <c r="GF5070"/>
      <c r="GG5070"/>
      <c r="GH5070"/>
    </row>
    <row r="5071" spans="187:190" s="1" customFormat="1" ht="18" customHeight="1" x14ac:dyDescent="0.2">
      <c r="GE5071"/>
      <c r="GF5071"/>
      <c r="GG5071"/>
      <c r="GH5071"/>
    </row>
    <row r="5072" spans="187:190" s="1" customFormat="1" ht="18" customHeight="1" x14ac:dyDescent="0.2">
      <c r="GE5072"/>
      <c r="GF5072"/>
      <c r="GG5072"/>
      <c r="GH5072"/>
    </row>
    <row r="5073" spans="187:190" s="1" customFormat="1" ht="18" customHeight="1" x14ac:dyDescent="0.2">
      <c r="GE5073"/>
      <c r="GF5073"/>
      <c r="GG5073"/>
      <c r="GH5073"/>
    </row>
    <row r="5074" spans="187:190" s="1" customFormat="1" ht="18" customHeight="1" x14ac:dyDescent="0.2">
      <c r="GE5074"/>
      <c r="GF5074"/>
      <c r="GG5074"/>
      <c r="GH5074"/>
    </row>
    <row r="5075" spans="187:190" s="1" customFormat="1" ht="18" customHeight="1" x14ac:dyDescent="0.2">
      <c r="GE5075"/>
      <c r="GF5075"/>
      <c r="GG5075"/>
      <c r="GH5075"/>
    </row>
    <row r="5076" spans="187:190" s="1" customFormat="1" ht="18" customHeight="1" x14ac:dyDescent="0.2">
      <c r="GE5076"/>
      <c r="GF5076"/>
      <c r="GG5076"/>
      <c r="GH5076"/>
    </row>
    <row r="5077" spans="187:190" s="1" customFormat="1" ht="18" customHeight="1" x14ac:dyDescent="0.2">
      <c r="GE5077"/>
      <c r="GF5077"/>
      <c r="GG5077"/>
      <c r="GH5077"/>
    </row>
    <row r="5078" spans="187:190" s="1" customFormat="1" ht="18" customHeight="1" x14ac:dyDescent="0.2">
      <c r="GE5078"/>
      <c r="GF5078"/>
      <c r="GG5078"/>
      <c r="GH5078"/>
    </row>
    <row r="5079" spans="187:190" s="1" customFormat="1" ht="18" customHeight="1" x14ac:dyDescent="0.2">
      <c r="GE5079"/>
      <c r="GF5079"/>
      <c r="GG5079"/>
      <c r="GH5079"/>
    </row>
    <row r="5080" spans="187:190" s="1" customFormat="1" ht="18" customHeight="1" x14ac:dyDescent="0.2">
      <c r="GE5080"/>
      <c r="GF5080"/>
      <c r="GG5080"/>
      <c r="GH5080"/>
    </row>
    <row r="5081" spans="187:190" s="1" customFormat="1" ht="18" customHeight="1" x14ac:dyDescent="0.2">
      <c r="GE5081"/>
      <c r="GF5081"/>
      <c r="GG5081"/>
      <c r="GH5081"/>
    </row>
    <row r="5082" spans="187:190" s="1" customFormat="1" ht="18" customHeight="1" x14ac:dyDescent="0.2">
      <c r="GE5082"/>
      <c r="GF5082"/>
      <c r="GG5082"/>
      <c r="GH5082"/>
    </row>
    <row r="5083" spans="187:190" s="1" customFormat="1" ht="18" customHeight="1" x14ac:dyDescent="0.2">
      <c r="GE5083"/>
      <c r="GF5083"/>
      <c r="GG5083"/>
      <c r="GH5083"/>
    </row>
    <row r="5084" spans="187:190" s="1" customFormat="1" ht="18" customHeight="1" x14ac:dyDescent="0.2">
      <c r="GE5084"/>
      <c r="GF5084"/>
      <c r="GG5084"/>
      <c r="GH5084"/>
    </row>
    <row r="5085" spans="187:190" s="1" customFormat="1" ht="18" customHeight="1" x14ac:dyDescent="0.2">
      <c r="GE5085"/>
      <c r="GF5085"/>
      <c r="GG5085"/>
      <c r="GH5085"/>
    </row>
    <row r="5086" spans="187:190" s="1" customFormat="1" ht="18" customHeight="1" x14ac:dyDescent="0.2">
      <c r="GE5086"/>
      <c r="GF5086"/>
      <c r="GG5086"/>
      <c r="GH5086"/>
    </row>
    <row r="5087" spans="187:190" s="1" customFormat="1" ht="18" customHeight="1" x14ac:dyDescent="0.2">
      <c r="GE5087"/>
      <c r="GF5087"/>
      <c r="GG5087"/>
      <c r="GH5087"/>
    </row>
    <row r="5088" spans="187:190" s="1" customFormat="1" ht="18" customHeight="1" x14ac:dyDescent="0.2">
      <c r="GE5088"/>
      <c r="GF5088"/>
      <c r="GG5088"/>
      <c r="GH5088"/>
    </row>
    <row r="5089" spans="187:190" s="1" customFormat="1" ht="18" customHeight="1" x14ac:dyDescent="0.2">
      <c r="GE5089"/>
      <c r="GF5089"/>
      <c r="GG5089"/>
      <c r="GH5089"/>
    </row>
    <row r="5090" spans="187:190" s="1" customFormat="1" ht="18" customHeight="1" x14ac:dyDescent="0.2">
      <c r="GE5090"/>
      <c r="GF5090"/>
      <c r="GG5090"/>
      <c r="GH5090"/>
    </row>
    <row r="5091" spans="187:190" s="1" customFormat="1" ht="18" customHeight="1" x14ac:dyDescent="0.2">
      <c r="GE5091"/>
      <c r="GF5091"/>
      <c r="GG5091"/>
      <c r="GH5091"/>
    </row>
    <row r="5092" spans="187:190" s="1" customFormat="1" ht="18" customHeight="1" x14ac:dyDescent="0.2">
      <c r="GE5092"/>
      <c r="GF5092"/>
      <c r="GG5092"/>
      <c r="GH5092"/>
    </row>
    <row r="5093" spans="187:190" s="1" customFormat="1" ht="18" customHeight="1" x14ac:dyDescent="0.2">
      <c r="GE5093"/>
      <c r="GF5093"/>
      <c r="GG5093"/>
      <c r="GH5093"/>
    </row>
    <row r="5094" spans="187:190" s="1" customFormat="1" ht="18" customHeight="1" x14ac:dyDescent="0.2">
      <c r="GE5094"/>
      <c r="GF5094"/>
      <c r="GG5094"/>
      <c r="GH5094"/>
    </row>
    <row r="5095" spans="187:190" s="1" customFormat="1" ht="18" customHeight="1" x14ac:dyDescent="0.2">
      <c r="GE5095"/>
      <c r="GF5095"/>
      <c r="GG5095"/>
      <c r="GH5095"/>
    </row>
    <row r="5096" spans="187:190" s="1" customFormat="1" ht="18" customHeight="1" x14ac:dyDescent="0.2">
      <c r="GE5096"/>
      <c r="GF5096"/>
      <c r="GG5096"/>
      <c r="GH5096"/>
    </row>
    <row r="5097" spans="187:190" s="1" customFormat="1" ht="18" customHeight="1" x14ac:dyDescent="0.2">
      <c r="GE5097"/>
      <c r="GF5097"/>
      <c r="GG5097"/>
      <c r="GH5097"/>
    </row>
    <row r="5098" spans="187:190" s="1" customFormat="1" ht="18" customHeight="1" x14ac:dyDescent="0.2">
      <c r="GE5098"/>
      <c r="GF5098"/>
      <c r="GG5098"/>
      <c r="GH5098"/>
    </row>
    <row r="5099" spans="187:190" s="1" customFormat="1" ht="18" customHeight="1" x14ac:dyDescent="0.2">
      <c r="GE5099"/>
      <c r="GF5099"/>
      <c r="GG5099"/>
      <c r="GH5099"/>
    </row>
    <row r="5100" spans="187:190" s="1" customFormat="1" ht="18" customHeight="1" x14ac:dyDescent="0.2">
      <c r="GE5100"/>
      <c r="GF5100"/>
      <c r="GG5100"/>
      <c r="GH5100"/>
    </row>
    <row r="5101" spans="187:190" s="1" customFormat="1" ht="18" customHeight="1" x14ac:dyDescent="0.2">
      <c r="GE5101"/>
      <c r="GF5101"/>
      <c r="GG5101"/>
      <c r="GH5101"/>
    </row>
    <row r="5102" spans="187:190" s="1" customFormat="1" ht="18" customHeight="1" x14ac:dyDescent="0.2">
      <c r="GE5102"/>
      <c r="GF5102"/>
      <c r="GG5102"/>
      <c r="GH5102"/>
    </row>
    <row r="5103" spans="187:190" s="1" customFormat="1" ht="18" customHeight="1" x14ac:dyDescent="0.2">
      <c r="GE5103"/>
      <c r="GF5103"/>
      <c r="GG5103"/>
      <c r="GH5103"/>
    </row>
    <row r="5104" spans="187:190" s="1" customFormat="1" ht="18" customHeight="1" x14ac:dyDescent="0.2">
      <c r="GE5104"/>
      <c r="GF5104"/>
      <c r="GG5104"/>
      <c r="GH5104"/>
    </row>
    <row r="5105" spans="187:190" s="1" customFormat="1" ht="18" customHeight="1" x14ac:dyDescent="0.2">
      <c r="GE5105"/>
      <c r="GF5105"/>
      <c r="GG5105"/>
      <c r="GH5105"/>
    </row>
    <row r="5106" spans="187:190" s="1" customFormat="1" ht="18" customHeight="1" x14ac:dyDescent="0.2">
      <c r="GE5106"/>
      <c r="GF5106"/>
      <c r="GG5106"/>
      <c r="GH5106"/>
    </row>
    <row r="5107" spans="187:190" s="1" customFormat="1" ht="18" customHeight="1" x14ac:dyDescent="0.2">
      <c r="GE5107"/>
      <c r="GF5107"/>
      <c r="GG5107"/>
      <c r="GH5107"/>
    </row>
    <row r="5108" spans="187:190" s="1" customFormat="1" ht="18" customHeight="1" x14ac:dyDescent="0.2">
      <c r="GE5108"/>
      <c r="GF5108"/>
      <c r="GG5108"/>
      <c r="GH5108"/>
    </row>
    <row r="5109" spans="187:190" s="1" customFormat="1" ht="18" customHeight="1" x14ac:dyDescent="0.2">
      <c r="GE5109"/>
      <c r="GF5109"/>
      <c r="GG5109"/>
      <c r="GH5109"/>
    </row>
    <row r="5110" spans="187:190" s="1" customFormat="1" ht="18" customHeight="1" x14ac:dyDescent="0.2">
      <c r="GE5110"/>
      <c r="GF5110"/>
      <c r="GG5110"/>
      <c r="GH5110"/>
    </row>
    <row r="5111" spans="187:190" s="1" customFormat="1" ht="18" customHeight="1" x14ac:dyDescent="0.2">
      <c r="GE5111"/>
      <c r="GF5111"/>
      <c r="GG5111"/>
      <c r="GH5111"/>
    </row>
    <row r="5112" spans="187:190" s="1" customFormat="1" ht="18" customHeight="1" x14ac:dyDescent="0.2">
      <c r="GE5112"/>
      <c r="GF5112"/>
      <c r="GG5112"/>
      <c r="GH5112"/>
    </row>
    <row r="5113" spans="187:190" s="1" customFormat="1" ht="18" customHeight="1" x14ac:dyDescent="0.2">
      <c r="GE5113"/>
      <c r="GF5113"/>
      <c r="GG5113"/>
      <c r="GH5113"/>
    </row>
    <row r="5114" spans="187:190" s="1" customFormat="1" ht="18" customHeight="1" x14ac:dyDescent="0.2">
      <c r="GE5114"/>
      <c r="GF5114"/>
      <c r="GG5114"/>
      <c r="GH5114"/>
    </row>
    <row r="5115" spans="187:190" s="1" customFormat="1" ht="18" customHeight="1" x14ac:dyDescent="0.2">
      <c r="GE5115"/>
      <c r="GF5115"/>
      <c r="GG5115"/>
      <c r="GH5115"/>
    </row>
    <row r="5116" spans="187:190" s="1" customFormat="1" ht="18" customHeight="1" x14ac:dyDescent="0.2">
      <c r="GE5116"/>
      <c r="GF5116"/>
      <c r="GG5116"/>
      <c r="GH5116"/>
    </row>
    <row r="5117" spans="187:190" s="1" customFormat="1" ht="18" customHeight="1" x14ac:dyDescent="0.2">
      <c r="GE5117"/>
      <c r="GF5117"/>
      <c r="GG5117"/>
      <c r="GH5117"/>
    </row>
    <row r="5118" spans="187:190" s="1" customFormat="1" ht="18" customHeight="1" x14ac:dyDescent="0.2">
      <c r="GE5118"/>
      <c r="GF5118"/>
      <c r="GG5118"/>
      <c r="GH5118"/>
    </row>
    <row r="5119" spans="187:190" s="1" customFormat="1" ht="18" customHeight="1" x14ac:dyDescent="0.2">
      <c r="GE5119"/>
      <c r="GF5119"/>
      <c r="GG5119"/>
      <c r="GH5119"/>
    </row>
    <row r="5120" spans="187:190" s="1" customFormat="1" ht="18" customHeight="1" x14ac:dyDescent="0.2">
      <c r="GE5120"/>
      <c r="GF5120"/>
      <c r="GG5120"/>
      <c r="GH5120"/>
    </row>
    <row r="5121" spans="187:190" s="1" customFormat="1" ht="18" customHeight="1" x14ac:dyDescent="0.2">
      <c r="GE5121"/>
      <c r="GF5121"/>
      <c r="GG5121"/>
      <c r="GH5121"/>
    </row>
    <row r="5122" spans="187:190" s="1" customFormat="1" ht="18" customHeight="1" x14ac:dyDescent="0.2">
      <c r="GE5122"/>
      <c r="GF5122"/>
      <c r="GG5122"/>
      <c r="GH5122"/>
    </row>
    <row r="5123" spans="187:190" s="1" customFormat="1" ht="18" customHeight="1" x14ac:dyDescent="0.2">
      <c r="GE5123"/>
      <c r="GF5123"/>
      <c r="GG5123"/>
      <c r="GH5123"/>
    </row>
    <row r="5124" spans="187:190" s="1" customFormat="1" ht="18" customHeight="1" x14ac:dyDescent="0.2">
      <c r="GE5124"/>
      <c r="GF5124"/>
      <c r="GG5124"/>
      <c r="GH5124"/>
    </row>
    <row r="5125" spans="187:190" s="1" customFormat="1" ht="18" customHeight="1" x14ac:dyDescent="0.2">
      <c r="GE5125"/>
      <c r="GF5125"/>
      <c r="GG5125"/>
      <c r="GH5125"/>
    </row>
    <row r="5126" spans="187:190" s="1" customFormat="1" ht="18" customHeight="1" x14ac:dyDescent="0.2">
      <c r="GE5126"/>
      <c r="GF5126"/>
      <c r="GG5126"/>
      <c r="GH5126"/>
    </row>
    <row r="5127" spans="187:190" s="1" customFormat="1" ht="18" customHeight="1" x14ac:dyDescent="0.2">
      <c r="GE5127"/>
      <c r="GF5127"/>
      <c r="GG5127"/>
      <c r="GH5127"/>
    </row>
    <row r="5128" spans="187:190" s="1" customFormat="1" ht="18" customHeight="1" x14ac:dyDescent="0.2">
      <c r="GE5128"/>
      <c r="GF5128"/>
      <c r="GG5128"/>
      <c r="GH5128"/>
    </row>
    <row r="5129" spans="187:190" s="1" customFormat="1" ht="18" customHeight="1" x14ac:dyDescent="0.2">
      <c r="GE5129"/>
      <c r="GF5129"/>
      <c r="GG5129"/>
      <c r="GH5129"/>
    </row>
    <row r="5130" spans="187:190" s="1" customFormat="1" ht="18" customHeight="1" x14ac:dyDescent="0.2">
      <c r="GE5130"/>
      <c r="GF5130"/>
      <c r="GG5130"/>
      <c r="GH5130"/>
    </row>
    <row r="5131" spans="187:190" s="1" customFormat="1" ht="18" customHeight="1" x14ac:dyDescent="0.2">
      <c r="GE5131"/>
      <c r="GF5131"/>
      <c r="GG5131"/>
      <c r="GH5131"/>
    </row>
    <row r="5132" spans="187:190" s="1" customFormat="1" ht="18" customHeight="1" x14ac:dyDescent="0.2">
      <c r="GE5132"/>
      <c r="GF5132"/>
      <c r="GG5132"/>
      <c r="GH5132"/>
    </row>
    <row r="5133" spans="187:190" s="1" customFormat="1" ht="18" customHeight="1" x14ac:dyDescent="0.2">
      <c r="GE5133"/>
      <c r="GF5133"/>
      <c r="GG5133"/>
      <c r="GH5133"/>
    </row>
    <row r="5134" spans="187:190" s="1" customFormat="1" ht="18" customHeight="1" x14ac:dyDescent="0.2">
      <c r="GE5134"/>
      <c r="GF5134"/>
      <c r="GG5134"/>
      <c r="GH5134"/>
    </row>
    <row r="5135" spans="187:190" s="1" customFormat="1" ht="18" customHeight="1" x14ac:dyDescent="0.2">
      <c r="GE5135"/>
      <c r="GF5135"/>
      <c r="GG5135"/>
      <c r="GH5135"/>
    </row>
    <row r="5136" spans="187:190" s="1" customFormat="1" ht="18" customHeight="1" x14ac:dyDescent="0.2">
      <c r="GE5136"/>
      <c r="GF5136"/>
      <c r="GG5136"/>
      <c r="GH5136"/>
    </row>
    <row r="5137" spans="187:190" s="1" customFormat="1" ht="18" customHeight="1" x14ac:dyDescent="0.2">
      <c r="GE5137"/>
      <c r="GF5137"/>
      <c r="GG5137"/>
      <c r="GH5137"/>
    </row>
    <row r="5138" spans="187:190" s="1" customFormat="1" ht="18" customHeight="1" x14ac:dyDescent="0.2">
      <c r="GE5138"/>
      <c r="GF5138"/>
      <c r="GG5138"/>
      <c r="GH5138"/>
    </row>
    <row r="5139" spans="187:190" s="1" customFormat="1" ht="18" customHeight="1" x14ac:dyDescent="0.2">
      <c r="GE5139"/>
      <c r="GF5139"/>
      <c r="GG5139"/>
      <c r="GH5139"/>
    </row>
    <row r="5140" spans="187:190" s="1" customFormat="1" ht="18" customHeight="1" x14ac:dyDescent="0.2">
      <c r="GE5140"/>
      <c r="GF5140"/>
      <c r="GG5140"/>
      <c r="GH5140"/>
    </row>
    <row r="5141" spans="187:190" s="1" customFormat="1" ht="18" customHeight="1" x14ac:dyDescent="0.2">
      <c r="GE5141"/>
      <c r="GF5141"/>
      <c r="GG5141"/>
      <c r="GH5141"/>
    </row>
    <row r="5142" spans="187:190" s="1" customFormat="1" ht="18" customHeight="1" x14ac:dyDescent="0.2">
      <c r="GE5142"/>
      <c r="GF5142"/>
      <c r="GG5142"/>
      <c r="GH5142"/>
    </row>
    <row r="5143" spans="187:190" s="1" customFormat="1" ht="18" customHeight="1" x14ac:dyDescent="0.2">
      <c r="GE5143"/>
      <c r="GF5143"/>
      <c r="GG5143"/>
      <c r="GH5143"/>
    </row>
    <row r="5144" spans="187:190" s="1" customFormat="1" ht="18" customHeight="1" x14ac:dyDescent="0.2">
      <c r="GE5144"/>
      <c r="GF5144"/>
      <c r="GG5144"/>
      <c r="GH5144"/>
    </row>
    <row r="5145" spans="187:190" s="1" customFormat="1" ht="18" customHeight="1" x14ac:dyDescent="0.2">
      <c r="GE5145"/>
      <c r="GF5145"/>
      <c r="GG5145"/>
      <c r="GH5145"/>
    </row>
    <row r="5146" spans="187:190" s="1" customFormat="1" ht="18" customHeight="1" x14ac:dyDescent="0.2">
      <c r="GE5146"/>
      <c r="GF5146"/>
      <c r="GG5146"/>
      <c r="GH5146"/>
    </row>
    <row r="5147" spans="187:190" s="1" customFormat="1" ht="18" customHeight="1" x14ac:dyDescent="0.2">
      <c r="GE5147"/>
      <c r="GF5147"/>
      <c r="GG5147"/>
      <c r="GH5147"/>
    </row>
    <row r="5148" spans="187:190" s="1" customFormat="1" ht="18" customHeight="1" x14ac:dyDescent="0.2">
      <c r="GE5148"/>
      <c r="GF5148"/>
      <c r="GG5148"/>
      <c r="GH5148"/>
    </row>
    <row r="5149" spans="187:190" s="1" customFormat="1" ht="18" customHeight="1" x14ac:dyDescent="0.2">
      <c r="GE5149"/>
      <c r="GF5149"/>
      <c r="GG5149"/>
      <c r="GH5149"/>
    </row>
    <row r="5150" spans="187:190" s="1" customFormat="1" ht="18" customHeight="1" x14ac:dyDescent="0.2">
      <c r="GE5150"/>
      <c r="GF5150"/>
      <c r="GG5150"/>
      <c r="GH5150"/>
    </row>
    <row r="5151" spans="187:190" s="1" customFormat="1" ht="18" customHeight="1" x14ac:dyDescent="0.2">
      <c r="GE5151"/>
      <c r="GF5151"/>
      <c r="GG5151"/>
      <c r="GH5151"/>
    </row>
    <row r="5152" spans="187:190" s="1" customFormat="1" ht="18" customHeight="1" x14ac:dyDescent="0.2">
      <c r="GE5152"/>
      <c r="GF5152"/>
      <c r="GG5152"/>
      <c r="GH5152"/>
    </row>
    <row r="5153" spans="187:190" s="1" customFormat="1" ht="18" customHeight="1" x14ac:dyDescent="0.2">
      <c r="GE5153"/>
      <c r="GF5153"/>
      <c r="GG5153"/>
      <c r="GH5153"/>
    </row>
    <row r="5154" spans="187:190" s="1" customFormat="1" ht="18" customHeight="1" x14ac:dyDescent="0.2">
      <c r="GE5154"/>
      <c r="GF5154"/>
      <c r="GG5154"/>
      <c r="GH5154"/>
    </row>
    <row r="5155" spans="187:190" s="1" customFormat="1" ht="18" customHeight="1" x14ac:dyDescent="0.2">
      <c r="GE5155"/>
      <c r="GF5155"/>
      <c r="GG5155"/>
      <c r="GH5155"/>
    </row>
    <row r="5156" spans="187:190" s="1" customFormat="1" ht="18" customHeight="1" x14ac:dyDescent="0.2">
      <c r="GE5156"/>
      <c r="GF5156"/>
      <c r="GG5156"/>
      <c r="GH5156"/>
    </row>
    <row r="5157" spans="187:190" s="1" customFormat="1" ht="18" customHeight="1" x14ac:dyDescent="0.2">
      <c r="GE5157"/>
      <c r="GF5157"/>
      <c r="GG5157"/>
      <c r="GH5157"/>
    </row>
    <row r="5158" spans="187:190" s="1" customFormat="1" ht="18" customHeight="1" x14ac:dyDescent="0.2">
      <c r="GE5158"/>
      <c r="GF5158"/>
      <c r="GG5158"/>
      <c r="GH5158"/>
    </row>
    <row r="5159" spans="187:190" s="1" customFormat="1" ht="18" customHeight="1" x14ac:dyDescent="0.2">
      <c r="GE5159"/>
      <c r="GF5159"/>
      <c r="GG5159"/>
      <c r="GH5159"/>
    </row>
    <row r="5160" spans="187:190" s="1" customFormat="1" ht="18" customHeight="1" x14ac:dyDescent="0.2">
      <c r="GE5160"/>
      <c r="GF5160"/>
      <c r="GG5160"/>
      <c r="GH5160"/>
    </row>
    <row r="5161" spans="187:190" s="1" customFormat="1" ht="18" customHeight="1" x14ac:dyDescent="0.2">
      <c r="GE5161"/>
      <c r="GF5161"/>
      <c r="GG5161"/>
      <c r="GH5161"/>
    </row>
    <row r="5162" spans="187:190" s="1" customFormat="1" ht="18" customHeight="1" x14ac:dyDescent="0.2">
      <c r="GE5162"/>
      <c r="GF5162"/>
      <c r="GG5162"/>
      <c r="GH5162"/>
    </row>
    <row r="5163" spans="187:190" s="1" customFormat="1" ht="18" customHeight="1" x14ac:dyDescent="0.2">
      <c r="GE5163"/>
      <c r="GF5163"/>
      <c r="GG5163"/>
      <c r="GH5163"/>
    </row>
    <row r="5164" spans="187:190" s="1" customFormat="1" ht="18" customHeight="1" x14ac:dyDescent="0.2">
      <c r="GE5164"/>
      <c r="GF5164"/>
      <c r="GG5164"/>
      <c r="GH5164"/>
    </row>
    <row r="5165" spans="187:190" s="1" customFormat="1" ht="18" customHeight="1" x14ac:dyDescent="0.2">
      <c r="GE5165"/>
      <c r="GF5165"/>
      <c r="GG5165"/>
      <c r="GH5165"/>
    </row>
    <row r="5166" spans="187:190" s="1" customFormat="1" ht="18" customHeight="1" x14ac:dyDescent="0.2">
      <c r="GE5166"/>
      <c r="GF5166"/>
      <c r="GG5166"/>
      <c r="GH5166"/>
    </row>
    <row r="5167" spans="187:190" s="1" customFormat="1" ht="18" customHeight="1" x14ac:dyDescent="0.2">
      <c r="GE5167"/>
      <c r="GF5167"/>
      <c r="GG5167"/>
      <c r="GH5167"/>
    </row>
    <row r="5168" spans="187:190" s="1" customFormat="1" ht="18" customHeight="1" x14ac:dyDescent="0.2">
      <c r="GE5168"/>
      <c r="GF5168"/>
      <c r="GG5168"/>
      <c r="GH5168"/>
    </row>
    <row r="5169" spans="187:190" s="1" customFormat="1" ht="18" customHeight="1" x14ac:dyDescent="0.2">
      <c r="GE5169"/>
      <c r="GF5169"/>
      <c r="GG5169"/>
      <c r="GH5169"/>
    </row>
    <row r="5170" spans="187:190" s="1" customFormat="1" ht="18" customHeight="1" x14ac:dyDescent="0.2">
      <c r="GE5170"/>
      <c r="GF5170"/>
      <c r="GG5170"/>
      <c r="GH5170"/>
    </row>
    <row r="5171" spans="187:190" s="1" customFormat="1" ht="18" customHeight="1" x14ac:dyDescent="0.2">
      <c r="GE5171"/>
      <c r="GF5171"/>
      <c r="GG5171"/>
      <c r="GH5171"/>
    </row>
    <row r="5172" spans="187:190" s="1" customFormat="1" ht="18" customHeight="1" x14ac:dyDescent="0.2">
      <c r="GE5172"/>
      <c r="GF5172"/>
      <c r="GG5172"/>
      <c r="GH5172"/>
    </row>
    <row r="5173" spans="187:190" s="1" customFormat="1" ht="18" customHeight="1" x14ac:dyDescent="0.2">
      <c r="GE5173"/>
      <c r="GF5173"/>
      <c r="GG5173"/>
      <c r="GH5173"/>
    </row>
    <row r="5174" spans="187:190" s="1" customFormat="1" ht="18" customHeight="1" x14ac:dyDescent="0.2">
      <c r="GE5174"/>
      <c r="GF5174"/>
      <c r="GG5174"/>
      <c r="GH5174"/>
    </row>
    <row r="5175" spans="187:190" s="1" customFormat="1" ht="18" customHeight="1" x14ac:dyDescent="0.2">
      <c r="GE5175"/>
      <c r="GF5175"/>
      <c r="GG5175"/>
      <c r="GH5175"/>
    </row>
    <row r="5176" spans="187:190" s="1" customFormat="1" ht="18" customHeight="1" x14ac:dyDescent="0.2">
      <c r="GE5176"/>
      <c r="GF5176"/>
      <c r="GG5176"/>
      <c r="GH5176"/>
    </row>
    <row r="5177" spans="187:190" s="1" customFormat="1" ht="18" customHeight="1" x14ac:dyDescent="0.2">
      <c r="GE5177"/>
      <c r="GF5177"/>
      <c r="GG5177"/>
      <c r="GH5177"/>
    </row>
    <row r="5178" spans="187:190" s="1" customFormat="1" ht="18" customHeight="1" x14ac:dyDescent="0.2">
      <c r="GE5178"/>
      <c r="GF5178"/>
      <c r="GG5178"/>
      <c r="GH5178"/>
    </row>
    <row r="5179" spans="187:190" s="1" customFormat="1" ht="18" customHeight="1" x14ac:dyDescent="0.2">
      <c r="GE5179"/>
      <c r="GF5179"/>
      <c r="GG5179"/>
      <c r="GH5179"/>
    </row>
    <row r="5180" spans="187:190" s="1" customFormat="1" ht="18" customHeight="1" x14ac:dyDescent="0.2">
      <c r="GE5180"/>
      <c r="GF5180"/>
      <c r="GG5180"/>
      <c r="GH5180"/>
    </row>
    <row r="5181" spans="187:190" s="1" customFormat="1" ht="18" customHeight="1" x14ac:dyDescent="0.2">
      <c r="GE5181"/>
      <c r="GF5181"/>
      <c r="GG5181"/>
      <c r="GH5181"/>
    </row>
    <row r="5182" spans="187:190" s="1" customFormat="1" ht="18" customHeight="1" x14ac:dyDescent="0.2">
      <c r="GE5182"/>
      <c r="GF5182"/>
      <c r="GG5182"/>
      <c r="GH5182"/>
    </row>
    <row r="5183" spans="187:190" s="1" customFormat="1" ht="18" customHeight="1" x14ac:dyDescent="0.2">
      <c r="GE5183"/>
      <c r="GF5183"/>
      <c r="GG5183"/>
      <c r="GH5183"/>
    </row>
    <row r="5184" spans="187:190" s="1" customFormat="1" ht="18" customHeight="1" x14ac:dyDescent="0.2">
      <c r="GE5184"/>
      <c r="GF5184"/>
      <c r="GG5184"/>
      <c r="GH5184"/>
    </row>
    <row r="5185" spans="187:190" s="1" customFormat="1" ht="18" customHeight="1" x14ac:dyDescent="0.2">
      <c r="GE5185"/>
      <c r="GF5185"/>
      <c r="GG5185"/>
      <c r="GH5185"/>
    </row>
    <row r="5186" spans="187:190" s="1" customFormat="1" ht="18" customHeight="1" x14ac:dyDescent="0.2">
      <c r="GE5186"/>
      <c r="GF5186"/>
      <c r="GG5186"/>
      <c r="GH5186"/>
    </row>
    <row r="5187" spans="187:190" s="1" customFormat="1" ht="18" customHeight="1" x14ac:dyDescent="0.2">
      <c r="GE5187"/>
      <c r="GF5187"/>
      <c r="GG5187"/>
      <c r="GH5187"/>
    </row>
    <row r="5188" spans="187:190" s="1" customFormat="1" ht="18" customHeight="1" x14ac:dyDescent="0.2">
      <c r="GE5188"/>
      <c r="GF5188"/>
      <c r="GG5188"/>
      <c r="GH5188"/>
    </row>
    <row r="5189" spans="187:190" s="1" customFormat="1" ht="18" customHeight="1" x14ac:dyDescent="0.2">
      <c r="GE5189"/>
      <c r="GF5189"/>
      <c r="GG5189"/>
      <c r="GH5189"/>
    </row>
    <row r="5190" spans="187:190" s="1" customFormat="1" ht="18" customHeight="1" x14ac:dyDescent="0.2">
      <c r="GE5190"/>
      <c r="GF5190"/>
      <c r="GG5190"/>
      <c r="GH5190"/>
    </row>
    <row r="5191" spans="187:190" s="1" customFormat="1" ht="18" customHeight="1" x14ac:dyDescent="0.2">
      <c r="GE5191"/>
      <c r="GF5191"/>
      <c r="GG5191"/>
      <c r="GH5191"/>
    </row>
    <row r="5192" spans="187:190" s="1" customFormat="1" ht="18" customHeight="1" x14ac:dyDescent="0.2">
      <c r="GE5192"/>
      <c r="GF5192"/>
      <c r="GG5192"/>
      <c r="GH5192"/>
    </row>
    <row r="5193" spans="187:190" s="1" customFormat="1" ht="18" customHeight="1" x14ac:dyDescent="0.2">
      <c r="GE5193"/>
      <c r="GF5193"/>
      <c r="GG5193"/>
      <c r="GH5193"/>
    </row>
    <row r="5194" spans="187:190" s="1" customFormat="1" ht="18" customHeight="1" x14ac:dyDescent="0.2">
      <c r="GE5194"/>
      <c r="GF5194"/>
      <c r="GG5194"/>
      <c r="GH5194"/>
    </row>
    <row r="5195" spans="187:190" s="1" customFormat="1" ht="18" customHeight="1" x14ac:dyDescent="0.2">
      <c r="GE5195"/>
      <c r="GF5195"/>
      <c r="GG5195"/>
      <c r="GH5195"/>
    </row>
    <row r="5196" spans="187:190" s="1" customFormat="1" ht="18" customHeight="1" x14ac:dyDescent="0.2">
      <c r="GE5196"/>
      <c r="GF5196"/>
      <c r="GG5196"/>
      <c r="GH5196"/>
    </row>
    <row r="5197" spans="187:190" s="1" customFormat="1" ht="18" customHeight="1" x14ac:dyDescent="0.2">
      <c r="GE5197"/>
      <c r="GF5197"/>
      <c r="GG5197"/>
      <c r="GH5197"/>
    </row>
    <row r="5198" spans="187:190" s="1" customFormat="1" ht="18" customHeight="1" x14ac:dyDescent="0.2">
      <c r="GE5198"/>
      <c r="GF5198"/>
      <c r="GG5198"/>
      <c r="GH5198"/>
    </row>
    <row r="5199" spans="187:190" s="1" customFormat="1" ht="18" customHeight="1" x14ac:dyDescent="0.2">
      <c r="GE5199"/>
      <c r="GF5199"/>
      <c r="GG5199"/>
      <c r="GH5199"/>
    </row>
    <row r="5200" spans="187:190" s="1" customFormat="1" ht="18" customHeight="1" x14ac:dyDescent="0.2">
      <c r="GE5200"/>
      <c r="GF5200"/>
      <c r="GG5200"/>
      <c r="GH5200"/>
    </row>
    <row r="5201" spans="187:190" s="1" customFormat="1" ht="18" customHeight="1" x14ac:dyDescent="0.2">
      <c r="GE5201"/>
      <c r="GF5201"/>
      <c r="GG5201"/>
      <c r="GH5201"/>
    </row>
    <row r="5202" spans="187:190" s="1" customFormat="1" ht="18" customHeight="1" x14ac:dyDescent="0.2">
      <c r="GE5202"/>
      <c r="GF5202"/>
      <c r="GG5202"/>
      <c r="GH5202"/>
    </row>
    <row r="5203" spans="187:190" s="1" customFormat="1" ht="18" customHeight="1" x14ac:dyDescent="0.2">
      <c r="GE5203"/>
      <c r="GF5203"/>
      <c r="GG5203"/>
      <c r="GH5203"/>
    </row>
    <row r="5204" spans="187:190" s="1" customFormat="1" ht="18" customHeight="1" x14ac:dyDescent="0.2">
      <c r="GE5204"/>
      <c r="GF5204"/>
      <c r="GG5204"/>
      <c r="GH5204"/>
    </row>
    <row r="5205" spans="187:190" s="1" customFormat="1" ht="18" customHeight="1" x14ac:dyDescent="0.2">
      <c r="GE5205"/>
      <c r="GF5205"/>
      <c r="GG5205"/>
      <c r="GH5205"/>
    </row>
    <row r="5206" spans="187:190" s="1" customFormat="1" ht="18" customHeight="1" x14ac:dyDescent="0.2">
      <c r="GE5206"/>
      <c r="GF5206"/>
      <c r="GG5206"/>
      <c r="GH5206"/>
    </row>
    <row r="5207" spans="187:190" s="1" customFormat="1" ht="18" customHeight="1" x14ac:dyDescent="0.2">
      <c r="GE5207"/>
      <c r="GF5207"/>
      <c r="GG5207"/>
      <c r="GH5207"/>
    </row>
    <row r="5208" spans="187:190" s="1" customFormat="1" ht="18" customHeight="1" x14ac:dyDescent="0.2">
      <c r="GE5208"/>
      <c r="GF5208"/>
      <c r="GG5208"/>
      <c r="GH5208"/>
    </row>
    <row r="5209" spans="187:190" s="1" customFormat="1" ht="18" customHeight="1" x14ac:dyDescent="0.2">
      <c r="GE5209"/>
      <c r="GF5209"/>
      <c r="GG5209"/>
      <c r="GH5209"/>
    </row>
    <row r="5210" spans="187:190" s="1" customFormat="1" ht="18" customHeight="1" x14ac:dyDescent="0.2">
      <c r="GE5210"/>
      <c r="GF5210"/>
      <c r="GG5210"/>
      <c r="GH5210"/>
    </row>
    <row r="5211" spans="187:190" s="1" customFormat="1" ht="18" customHeight="1" x14ac:dyDescent="0.2">
      <c r="GE5211"/>
      <c r="GF5211"/>
      <c r="GG5211"/>
      <c r="GH5211"/>
    </row>
    <row r="5212" spans="187:190" s="1" customFormat="1" ht="18" customHeight="1" x14ac:dyDescent="0.2">
      <c r="GE5212"/>
      <c r="GF5212"/>
      <c r="GG5212"/>
      <c r="GH5212"/>
    </row>
    <row r="5213" spans="187:190" s="1" customFormat="1" ht="18" customHeight="1" x14ac:dyDescent="0.2">
      <c r="GE5213"/>
      <c r="GF5213"/>
      <c r="GG5213"/>
      <c r="GH5213"/>
    </row>
    <row r="5214" spans="187:190" s="1" customFormat="1" ht="18" customHeight="1" x14ac:dyDescent="0.2">
      <c r="GE5214"/>
      <c r="GF5214"/>
      <c r="GG5214"/>
      <c r="GH5214"/>
    </row>
    <row r="5215" spans="187:190" s="1" customFormat="1" ht="18" customHeight="1" x14ac:dyDescent="0.2">
      <c r="GE5215"/>
      <c r="GF5215"/>
      <c r="GG5215"/>
      <c r="GH5215"/>
    </row>
    <row r="5216" spans="187:190" s="1" customFormat="1" ht="18" customHeight="1" x14ac:dyDescent="0.2">
      <c r="GE5216"/>
      <c r="GF5216"/>
      <c r="GG5216"/>
      <c r="GH5216"/>
    </row>
    <row r="5217" spans="187:190" s="1" customFormat="1" ht="18" customHeight="1" x14ac:dyDescent="0.2">
      <c r="GE5217"/>
      <c r="GF5217"/>
      <c r="GG5217"/>
      <c r="GH5217"/>
    </row>
    <row r="5218" spans="187:190" s="1" customFormat="1" ht="18" customHeight="1" x14ac:dyDescent="0.2">
      <c r="GE5218"/>
      <c r="GF5218"/>
      <c r="GG5218"/>
      <c r="GH5218"/>
    </row>
    <row r="5219" spans="187:190" s="1" customFormat="1" ht="18" customHeight="1" x14ac:dyDescent="0.2">
      <c r="GE5219"/>
      <c r="GF5219"/>
      <c r="GG5219"/>
      <c r="GH5219"/>
    </row>
    <row r="5220" spans="187:190" s="1" customFormat="1" ht="18" customHeight="1" x14ac:dyDescent="0.2">
      <c r="GE5220"/>
      <c r="GF5220"/>
      <c r="GG5220"/>
      <c r="GH5220"/>
    </row>
    <row r="5221" spans="187:190" s="1" customFormat="1" ht="18" customHeight="1" x14ac:dyDescent="0.2">
      <c r="GE5221"/>
      <c r="GF5221"/>
      <c r="GG5221"/>
      <c r="GH5221"/>
    </row>
    <row r="5222" spans="187:190" s="1" customFormat="1" ht="18" customHeight="1" x14ac:dyDescent="0.2">
      <c r="GE5222"/>
      <c r="GF5222"/>
      <c r="GG5222"/>
      <c r="GH5222"/>
    </row>
    <row r="5223" spans="187:190" s="1" customFormat="1" ht="18" customHeight="1" x14ac:dyDescent="0.2">
      <c r="GE5223"/>
      <c r="GF5223"/>
      <c r="GG5223"/>
      <c r="GH5223"/>
    </row>
    <row r="5224" spans="187:190" s="1" customFormat="1" ht="18" customHeight="1" x14ac:dyDescent="0.2">
      <c r="GE5224"/>
      <c r="GF5224"/>
      <c r="GG5224"/>
      <c r="GH5224"/>
    </row>
    <row r="5225" spans="187:190" s="1" customFormat="1" ht="18" customHeight="1" x14ac:dyDescent="0.2">
      <c r="GE5225"/>
      <c r="GF5225"/>
      <c r="GG5225"/>
      <c r="GH5225"/>
    </row>
    <row r="5226" spans="187:190" s="1" customFormat="1" ht="18" customHeight="1" x14ac:dyDescent="0.2">
      <c r="GE5226"/>
      <c r="GF5226"/>
      <c r="GG5226"/>
      <c r="GH5226"/>
    </row>
    <row r="5227" spans="187:190" s="1" customFormat="1" ht="18" customHeight="1" x14ac:dyDescent="0.2">
      <c r="GE5227"/>
      <c r="GF5227"/>
      <c r="GG5227"/>
      <c r="GH5227"/>
    </row>
    <row r="5228" spans="187:190" s="1" customFormat="1" ht="18" customHeight="1" x14ac:dyDescent="0.2">
      <c r="GE5228"/>
      <c r="GF5228"/>
      <c r="GG5228"/>
      <c r="GH5228"/>
    </row>
    <row r="5229" spans="187:190" s="1" customFormat="1" ht="18" customHeight="1" x14ac:dyDescent="0.2">
      <c r="GE5229"/>
      <c r="GF5229"/>
      <c r="GG5229"/>
      <c r="GH5229"/>
    </row>
    <row r="5230" spans="187:190" s="1" customFormat="1" ht="18" customHeight="1" x14ac:dyDescent="0.2">
      <c r="GE5230"/>
      <c r="GF5230"/>
      <c r="GG5230"/>
      <c r="GH5230"/>
    </row>
    <row r="5231" spans="187:190" s="1" customFormat="1" ht="18" customHeight="1" x14ac:dyDescent="0.2">
      <c r="GE5231"/>
      <c r="GF5231"/>
      <c r="GG5231"/>
      <c r="GH5231"/>
    </row>
    <row r="5232" spans="187:190" s="1" customFormat="1" ht="18" customHeight="1" x14ac:dyDescent="0.2">
      <c r="GE5232"/>
      <c r="GF5232"/>
      <c r="GG5232"/>
      <c r="GH5232"/>
    </row>
    <row r="5233" spans="187:190" s="1" customFormat="1" ht="18" customHeight="1" x14ac:dyDescent="0.2">
      <c r="GE5233"/>
      <c r="GF5233"/>
      <c r="GG5233"/>
      <c r="GH5233"/>
    </row>
    <row r="5234" spans="187:190" s="1" customFormat="1" ht="18" customHeight="1" x14ac:dyDescent="0.2">
      <c r="GE5234"/>
      <c r="GF5234"/>
      <c r="GG5234"/>
      <c r="GH5234"/>
    </row>
    <row r="5235" spans="187:190" s="1" customFormat="1" ht="18" customHeight="1" x14ac:dyDescent="0.2">
      <c r="GE5235"/>
      <c r="GF5235"/>
      <c r="GG5235"/>
      <c r="GH5235"/>
    </row>
    <row r="5236" spans="187:190" s="1" customFormat="1" ht="18" customHeight="1" x14ac:dyDescent="0.2">
      <c r="GE5236"/>
      <c r="GF5236"/>
      <c r="GG5236"/>
      <c r="GH5236"/>
    </row>
    <row r="5237" spans="187:190" s="1" customFormat="1" ht="18" customHeight="1" x14ac:dyDescent="0.2">
      <c r="GE5237"/>
      <c r="GF5237"/>
      <c r="GG5237"/>
      <c r="GH5237"/>
    </row>
    <row r="5238" spans="187:190" s="1" customFormat="1" ht="18" customHeight="1" x14ac:dyDescent="0.2">
      <c r="GE5238"/>
      <c r="GF5238"/>
      <c r="GG5238"/>
      <c r="GH5238"/>
    </row>
    <row r="5239" spans="187:190" s="1" customFormat="1" ht="18" customHeight="1" x14ac:dyDescent="0.2">
      <c r="GE5239"/>
      <c r="GF5239"/>
      <c r="GG5239"/>
      <c r="GH5239"/>
    </row>
    <row r="5240" spans="187:190" s="1" customFormat="1" ht="18" customHeight="1" x14ac:dyDescent="0.2">
      <c r="GE5240"/>
      <c r="GF5240"/>
      <c r="GG5240"/>
      <c r="GH5240"/>
    </row>
    <row r="5241" spans="187:190" s="1" customFormat="1" ht="18" customHeight="1" x14ac:dyDescent="0.2">
      <c r="GE5241"/>
      <c r="GF5241"/>
      <c r="GG5241"/>
      <c r="GH5241"/>
    </row>
    <row r="5242" spans="187:190" s="1" customFormat="1" ht="18" customHeight="1" x14ac:dyDescent="0.2">
      <c r="GE5242"/>
      <c r="GF5242"/>
      <c r="GG5242"/>
      <c r="GH5242"/>
    </row>
    <row r="5243" spans="187:190" s="1" customFormat="1" ht="18" customHeight="1" x14ac:dyDescent="0.2">
      <c r="GE5243"/>
      <c r="GF5243"/>
      <c r="GG5243"/>
      <c r="GH5243"/>
    </row>
    <row r="5244" spans="187:190" s="1" customFormat="1" ht="18" customHeight="1" x14ac:dyDescent="0.2">
      <c r="GE5244"/>
      <c r="GF5244"/>
      <c r="GG5244"/>
      <c r="GH5244"/>
    </row>
    <row r="5245" spans="187:190" s="1" customFormat="1" ht="18" customHeight="1" x14ac:dyDescent="0.2">
      <c r="GE5245"/>
      <c r="GF5245"/>
      <c r="GG5245"/>
      <c r="GH5245"/>
    </row>
    <row r="5246" spans="187:190" s="1" customFormat="1" ht="18" customHeight="1" x14ac:dyDescent="0.2">
      <c r="GE5246"/>
      <c r="GF5246"/>
      <c r="GG5246"/>
      <c r="GH5246"/>
    </row>
    <row r="5247" spans="187:190" s="1" customFormat="1" ht="18" customHeight="1" x14ac:dyDescent="0.2">
      <c r="GE5247"/>
      <c r="GF5247"/>
      <c r="GG5247"/>
      <c r="GH5247"/>
    </row>
    <row r="5248" spans="187:190" s="1" customFormat="1" ht="18" customHeight="1" x14ac:dyDescent="0.2">
      <c r="GE5248"/>
      <c r="GF5248"/>
      <c r="GG5248"/>
      <c r="GH5248"/>
    </row>
    <row r="5249" spans="187:190" s="1" customFormat="1" ht="18" customHeight="1" x14ac:dyDescent="0.2">
      <c r="GE5249"/>
      <c r="GF5249"/>
      <c r="GG5249"/>
      <c r="GH5249"/>
    </row>
    <row r="5250" spans="187:190" s="1" customFormat="1" ht="18" customHeight="1" x14ac:dyDescent="0.2">
      <c r="GE5250"/>
      <c r="GF5250"/>
      <c r="GG5250"/>
      <c r="GH5250"/>
    </row>
    <row r="5251" spans="187:190" s="1" customFormat="1" ht="18" customHeight="1" x14ac:dyDescent="0.2">
      <c r="GE5251"/>
      <c r="GF5251"/>
      <c r="GG5251"/>
      <c r="GH5251"/>
    </row>
    <row r="5252" spans="187:190" s="1" customFormat="1" ht="18" customHeight="1" x14ac:dyDescent="0.2">
      <c r="GE5252"/>
      <c r="GF5252"/>
      <c r="GG5252"/>
      <c r="GH5252"/>
    </row>
    <row r="5253" spans="187:190" s="1" customFormat="1" ht="18" customHeight="1" x14ac:dyDescent="0.2">
      <c r="GE5253"/>
      <c r="GF5253"/>
      <c r="GG5253"/>
      <c r="GH5253"/>
    </row>
    <row r="5254" spans="187:190" s="1" customFormat="1" ht="18" customHeight="1" x14ac:dyDescent="0.2">
      <c r="GE5254"/>
      <c r="GF5254"/>
      <c r="GG5254"/>
      <c r="GH5254"/>
    </row>
    <row r="5255" spans="187:190" s="1" customFormat="1" ht="18" customHeight="1" x14ac:dyDescent="0.2">
      <c r="GE5255"/>
      <c r="GF5255"/>
      <c r="GG5255"/>
      <c r="GH5255"/>
    </row>
    <row r="5256" spans="187:190" s="1" customFormat="1" ht="18" customHeight="1" x14ac:dyDescent="0.2">
      <c r="GE5256"/>
      <c r="GF5256"/>
      <c r="GG5256"/>
      <c r="GH5256"/>
    </row>
    <row r="5257" spans="187:190" s="1" customFormat="1" ht="18" customHeight="1" x14ac:dyDescent="0.2">
      <c r="GE5257"/>
      <c r="GF5257"/>
      <c r="GG5257"/>
      <c r="GH5257"/>
    </row>
    <row r="5258" spans="187:190" s="1" customFormat="1" ht="18" customHeight="1" x14ac:dyDescent="0.2">
      <c r="GE5258"/>
      <c r="GF5258"/>
      <c r="GG5258"/>
      <c r="GH5258"/>
    </row>
    <row r="5259" spans="187:190" s="1" customFormat="1" ht="18" customHeight="1" x14ac:dyDescent="0.2">
      <c r="GE5259"/>
      <c r="GF5259"/>
      <c r="GG5259"/>
      <c r="GH5259"/>
    </row>
    <row r="5260" spans="187:190" s="1" customFormat="1" ht="18" customHeight="1" x14ac:dyDescent="0.2">
      <c r="GE5260"/>
      <c r="GF5260"/>
      <c r="GG5260"/>
      <c r="GH5260"/>
    </row>
    <row r="5261" spans="187:190" s="1" customFormat="1" ht="18" customHeight="1" x14ac:dyDescent="0.2">
      <c r="GE5261"/>
      <c r="GF5261"/>
      <c r="GG5261"/>
      <c r="GH5261"/>
    </row>
    <row r="5262" spans="187:190" s="1" customFormat="1" ht="18" customHeight="1" x14ac:dyDescent="0.2">
      <c r="GE5262"/>
      <c r="GF5262"/>
      <c r="GG5262"/>
      <c r="GH5262"/>
    </row>
    <row r="5263" spans="187:190" s="1" customFormat="1" ht="18" customHeight="1" x14ac:dyDescent="0.2">
      <c r="GE5263"/>
      <c r="GF5263"/>
      <c r="GG5263"/>
      <c r="GH5263"/>
    </row>
    <row r="5264" spans="187:190" s="1" customFormat="1" ht="18" customHeight="1" x14ac:dyDescent="0.2">
      <c r="GE5264"/>
      <c r="GF5264"/>
      <c r="GG5264"/>
      <c r="GH5264"/>
    </row>
    <row r="5265" spans="187:190" s="1" customFormat="1" ht="18" customHeight="1" x14ac:dyDescent="0.2">
      <c r="GE5265"/>
      <c r="GF5265"/>
      <c r="GG5265"/>
      <c r="GH5265"/>
    </row>
    <row r="5266" spans="187:190" s="1" customFormat="1" ht="18" customHeight="1" x14ac:dyDescent="0.2">
      <c r="GE5266"/>
      <c r="GF5266"/>
      <c r="GG5266"/>
      <c r="GH5266"/>
    </row>
    <row r="5267" spans="187:190" s="1" customFormat="1" ht="18" customHeight="1" x14ac:dyDescent="0.2">
      <c r="GE5267"/>
      <c r="GF5267"/>
      <c r="GG5267"/>
      <c r="GH5267"/>
    </row>
    <row r="5268" spans="187:190" s="1" customFormat="1" ht="18" customHeight="1" x14ac:dyDescent="0.2">
      <c r="GE5268"/>
      <c r="GF5268"/>
      <c r="GG5268"/>
      <c r="GH5268"/>
    </row>
    <row r="5269" spans="187:190" s="1" customFormat="1" ht="18" customHeight="1" x14ac:dyDescent="0.2">
      <c r="GE5269"/>
      <c r="GF5269"/>
      <c r="GG5269"/>
      <c r="GH5269"/>
    </row>
    <row r="5270" spans="187:190" s="1" customFormat="1" ht="18" customHeight="1" x14ac:dyDescent="0.2">
      <c r="GE5270"/>
      <c r="GF5270"/>
      <c r="GG5270"/>
      <c r="GH5270"/>
    </row>
    <row r="5271" spans="187:190" s="1" customFormat="1" ht="18" customHeight="1" x14ac:dyDescent="0.2">
      <c r="GE5271"/>
      <c r="GF5271"/>
      <c r="GG5271"/>
      <c r="GH5271"/>
    </row>
    <row r="5272" spans="187:190" s="1" customFormat="1" ht="18" customHeight="1" x14ac:dyDescent="0.2">
      <c r="GE5272"/>
      <c r="GF5272"/>
      <c r="GG5272"/>
      <c r="GH5272"/>
    </row>
    <row r="5273" spans="187:190" s="1" customFormat="1" ht="18" customHeight="1" x14ac:dyDescent="0.2">
      <c r="GE5273"/>
      <c r="GF5273"/>
      <c r="GG5273"/>
      <c r="GH5273"/>
    </row>
    <row r="5274" spans="187:190" s="1" customFormat="1" ht="18" customHeight="1" x14ac:dyDescent="0.2">
      <c r="GE5274"/>
      <c r="GF5274"/>
      <c r="GG5274"/>
      <c r="GH5274"/>
    </row>
    <row r="5275" spans="187:190" s="1" customFormat="1" ht="18" customHeight="1" x14ac:dyDescent="0.2">
      <c r="GE5275"/>
      <c r="GF5275"/>
      <c r="GG5275"/>
      <c r="GH5275"/>
    </row>
    <row r="5276" spans="187:190" s="1" customFormat="1" ht="18" customHeight="1" x14ac:dyDescent="0.2">
      <c r="GE5276"/>
      <c r="GF5276"/>
      <c r="GG5276"/>
      <c r="GH5276"/>
    </row>
    <row r="5277" spans="187:190" s="1" customFormat="1" ht="18" customHeight="1" x14ac:dyDescent="0.2">
      <c r="GE5277"/>
      <c r="GF5277"/>
      <c r="GG5277"/>
      <c r="GH5277"/>
    </row>
    <row r="5278" spans="187:190" s="1" customFormat="1" ht="18" customHeight="1" x14ac:dyDescent="0.2">
      <c r="GE5278"/>
      <c r="GF5278"/>
      <c r="GG5278"/>
      <c r="GH5278"/>
    </row>
    <row r="5279" spans="187:190" s="1" customFormat="1" ht="18" customHeight="1" x14ac:dyDescent="0.2">
      <c r="GE5279"/>
      <c r="GF5279"/>
      <c r="GG5279"/>
      <c r="GH5279"/>
    </row>
    <row r="5280" spans="187:190" s="1" customFormat="1" ht="18" customHeight="1" x14ac:dyDescent="0.2">
      <c r="GE5280"/>
      <c r="GF5280"/>
      <c r="GG5280"/>
      <c r="GH5280"/>
    </row>
    <row r="5281" spans="187:190" s="1" customFormat="1" ht="18" customHeight="1" x14ac:dyDescent="0.2">
      <c r="GE5281"/>
      <c r="GF5281"/>
      <c r="GG5281"/>
      <c r="GH5281"/>
    </row>
    <row r="5282" spans="187:190" s="1" customFormat="1" ht="18" customHeight="1" x14ac:dyDescent="0.2">
      <c r="GE5282"/>
      <c r="GF5282"/>
      <c r="GG5282"/>
      <c r="GH5282"/>
    </row>
    <row r="5283" spans="187:190" s="1" customFormat="1" ht="18" customHeight="1" x14ac:dyDescent="0.2">
      <c r="GE5283"/>
      <c r="GF5283"/>
      <c r="GG5283"/>
      <c r="GH5283"/>
    </row>
    <row r="5284" spans="187:190" s="1" customFormat="1" ht="18" customHeight="1" x14ac:dyDescent="0.2">
      <c r="GE5284"/>
      <c r="GF5284"/>
      <c r="GG5284"/>
      <c r="GH5284"/>
    </row>
    <row r="5285" spans="187:190" s="1" customFormat="1" ht="18" customHeight="1" x14ac:dyDescent="0.2">
      <c r="GE5285"/>
      <c r="GF5285"/>
      <c r="GG5285"/>
      <c r="GH5285"/>
    </row>
    <row r="5286" spans="187:190" s="1" customFormat="1" ht="18" customHeight="1" x14ac:dyDescent="0.2">
      <c r="GE5286"/>
      <c r="GF5286"/>
      <c r="GG5286"/>
      <c r="GH5286"/>
    </row>
    <row r="5287" spans="187:190" s="1" customFormat="1" ht="18" customHeight="1" x14ac:dyDescent="0.2">
      <c r="GE5287"/>
      <c r="GF5287"/>
      <c r="GG5287"/>
      <c r="GH5287"/>
    </row>
    <row r="5288" spans="187:190" s="1" customFormat="1" ht="18" customHeight="1" x14ac:dyDescent="0.2">
      <c r="GE5288"/>
      <c r="GF5288"/>
      <c r="GG5288"/>
      <c r="GH5288"/>
    </row>
    <row r="5289" spans="187:190" s="1" customFormat="1" ht="18" customHeight="1" x14ac:dyDescent="0.2">
      <c r="GE5289"/>
      <c r="GF5289"/>
      <c r="GG5289"/>
      <c r="GH5289"/>
    </row>
    <row r="5290" spans="187:190" s="1" customFormat="1" ht="18" customHeight="1" x14ac:dyDescent="0.2">
      <c r="GE5290"/>
      <c r="GF5290"/>
      <c r="GG5290"/>
      <c r="GH5290"/>
    </row>
    <row r="5291" spans="187:190" s="1" customFormat="1" ht="18" customHeight="1" x14ac:dyDescent="0.2">
      <c r="GE5291"/>
      <c r="GF5291"/>
      <c r="GG5291"/>
      <c r="GH5291"/>
    </row>
    <row r="5292" spans="187:190" s="1" customFormat="1" ht="18" customHeight="1" x14ac:dyDescent="0.2">
      <c r="GE5292"/>
      <c r="GF5292"/>
      <c r="GG5292"/>
      <c r="GH5292"/>
    </row>
    <row r="5293" spans="187:190" s="1" customFormat="1" ht="18" customHeight="1" x14ac:dyDescent="0.2">
      <c r="GE5293"/>
      <c r="GF5293"/>
      <c r="GG5293"/>
      <c r="GH5293"/>
    </row>
    <row r="5294" spans="187:190" s="1" customFormat="1" ht="18" customHeight="1" x14ac:dyDescent="0.2">
      <c r="GE5294"/>
      <c r="GF5294"/>
      <c r="GG5294"/>
      <c r="GH5294"/>
    </row>
    <row r="5295" spans="187:190" s="1" customFormat="1" ht="18" customHeight="1" x14ac:dyDescent="0.2">
      <c r="GE5295"/>
      <c r="GF5295"/>
      <c r="GG5295"/>
      <c r="GH5295"/>
    </row>
    <row r="5296" spans="187:190" s="1" customFormat="1" ht="18" customHeight="1" x14ac:dyDescent="0.2">
      <c r="GE5296"/>
      <c r="GF5296"/>
      <c r="GG5296"/>
      <c r="GH5296"/>
    </row>
    <row r="5297" spans="187:190" s="1" customFormat="1" ht="18" customHeight="1" x14ac:dyDescent="0.2">
      <c r="GE5297"/>
      <c r="GF5297"/>
      <c r="GG5297"/>
      <c r="GH5297"/>
    </row>
    <row r="5298" spans="187:190" s="1" customFormat="1" ht="18" customHeight="1" x14ac:dyDescent="0.2">
      <c r="GE5298"/>
      <c r="GF5298"/>
      <c r="GG5298"/>
      <c r="GH5298"/>
    </row>
    <row r="5299" spans="187:190" s="1" customFormat="1" ht="18" customHeight="1" x14ac:dyDescent="0.2">
      <c r="GE5299"/>
      <c r="GF5299"/>
      <c r="GG5299"/>
      <c r="GH5299"/>
    </row>
    <row r="5300" spans="187:190" s="1" customFormat="1" ht="18" customHeight="1" x14ac:dyDescent="0.2">
      <c r="GE5300"/>
      <c r="GF5300"/>
      <c r="GG5300"/>
      <c r="GH5300"/>
    </row>
    <row r="5301" spans="187:190" s="1" customFormat="1" ht="18" customHeight="1" x14ac:dyDescent="0.2">
      <c r="GE5301"/>
      <c r="GF5301"/>
      <c r="GG5301"/>
      <c r="GH5301"/>
    </row>
    <row r="5302" spans="187:190" s="1" customFormat="1" ht="18" customHeight="1" x14ac:dyDescent="0.2">
      <c r="GE5302"/>
      <c r="GF5302"/>
      <c r="GG5302"/>
      <c r="GH5302"/>
    </row>
    <row r="5303" spans="187:190" s="1" customFormat="1" ht="18" customHeight="1" x14ac:dyDescent="0.2">
      <c r="GE5303"/>
      <c r="GF5303"/>
      <c r="GG5303"/>
      <c r="GH5303"/>
    </row>
    <row r="5304" spans="187:190" s="1" customFormat="1" ht="18" customHeight="1" x14ac:dyDescent="0.2">
      <c r="GE5304"/>
      <c r="GF5304"/>
      <c r="GG5304"/>
      <c r="GH5304"/>
    </row>
    <row r="5305" spans="187:190" s="1" customFormat="1" ht="18" customHeight="1" x14ac:dyDescent="0.2">
      <c r="GE5305"/>
      <c r="GF5305"/>
      <c r="GG5305"/>
      <c r="GH5305"/>
    </row>
    <row r="5306" spans="187:190" s="1" customFormat="1" ht="18" customHeight="1" x14ac:dyDescent="0.2">
      <c r="GE5306"/>
      <c r="GF5306"/>
      <c r="GG5306"/>
      <c r="GH5306"/>
    </row>
    <row r="5307" spans="187:190" s="1" customFormat="1" ht="18" customHeight="1" x14ac:dyDescent="0.2">
      <c r="GE5307"/>
      <c r="GF5307"/>
      <c r="GG5307"/>
      <c r="GH5307"/>
    </row>
    <row r="5308" spans="187:190" s="1" customFormat="1" ht="18" customHeight="1" x14ac:dyDescent="0.2">
      <c r="GE5308"/>
      <c r="GF5308"/>
      <c r="GG5308"/>
      <c r="GH5308"/>
    </row>
    <row r="5309" spans="187:190" s="1" customFormat="1" ht="18" customHeight="1" x14ac:dyDescent="0.2">
      <c r="GE5309"/>
      <c r="GF5309"/>
      <c r="GG5309"/>
      <c r="GH5309"/>
    </row>
    <row r="5310" spans="187:190" s="1" customFormat="1" ht="18" customHeight="1" x14ac:dyDescent="0.2">
      <c r="GE5310"/>
      <c r="GF5310"/>
      <c r="GG5310"/>
      <c r="GH5310"/>
    </row>
    <row r="5311" spans="187:190" s="1" customFormat="1" ht="18" customHeight="1" x14ac:dyDescent="0.2">
      <c r="GE5311"/>
      <c r="GF5311"/>
      <c r="GG5311"/>
      <c r="GH5311"/>
    </row>
    <row r="5312" spans="187:190" s="1" customFormat="1" ht="18" customHeight="1" x14ac:dyDescent="0.2">
      <c r="GE5312"/>
      <c r="GF5312"/>
      <c r="GG5312"/>
      <c r="GH5312"/>
    </row>
    <row r="5313" spans="187:190" s="1" customFormat="1" ht="18" customHeight="1" x14ac:dyDescent="0.2">
      <c r="GE5313"/>
      <c r="GF5313"/>
      <c r="GG5313"/>
      <c r="GH5313"/>
    </row>
    <row r="5314" spans="187:190" s="1" customFormat="1" ht="18" customHeight="1" x14ac:dyDescent="0.2">
      <c r="GE5314"/>
      <c r="GF5314"/>
      <c r="GG5314"/>
      <c r="GH5314"/>
    </row>
    <row r="5315" spans="187:190" s="1" customFormat="1" ht="18" customHeight="1" x14ac:dyDescent="0.2">
      <c r="GE5315"/>
      <c r="GF5315"/>
      <c r="GG5315"/>
      <c r="GH5315"/>
    </row>
    <row r="5316" spans="187:190" s="1" customFormat="1" ht="18" customHeight="1" x14ac:dyDescent="0.2">
      <c r="GE5316"/>
      <c r="GF5316"/>
      <c r="GG5316"/>
      <c r="GH5316"/>
    </row>
    <row r="5317" spans="187:190" s="1" customFormat="1" ht="18" customHeight="1" x14ac:dyDescent="0.2">
      <c r="GE5317"/>
      <c r="GF5317"/>
      <c r="GG5317"/>
      <c r="GH5317"/>
    </row>
    <row r="5318" spans="187:190" s="1" customFormat="1" ht="18" customHeight="1" x14ac:dyDescent="0.2">
      <c r="GE5318"/>
      <c r="GF5318"/>
      <c r="GG5318"/>
      <c r="GH5318"/>
    </row>
    <row r="5319" spans="187:190" s="1" customFormat="1" ht="18" customHeight="1" x14ac:dyDescent="0.2">
      <c r="GE5319"/>
      <c r="GF5319"/>
      <c r="GG5319"/>
      <c r="GH5319"/>
    </row>
    <row r="5320" spans="187:190" s="1" customFormat="1" ht="18" customHeight="1" x14ac:dyDescent="0.2">
      <c r="GE5320"/>
      <c r="GF5320"/>
      <c r="GG5320"/>
      <c r="GH5320"/>
    </row>
    <row r="5321" spans="187:190" s="1" customFormat="1" ht="18" customHeight="1" x14ac:dyDescent="0.2">
      <c r="GE5321"/>
      <c r="GF5321"/>
      <c r="GG5321"/>
      <c r="GH5321"/>
    </row>
    <row r="5322" spans="187:190" s="1" customFormat="1" ht="18" customHeight="1" x14ac:dyDescent="0.2">
      <c r="GE5322"/>
      <c r="GF5322"/>
      <c r="GG5322"/>
      <c r="GH5322"/>
    </row>
    <row r="5323" spans="187:190" s="1" customFormat="1" ht="18" customHeight="1" x14ac:dyDescent="0.2">
      <c r="GE5323"/>
      <c r="GF5323"/>
      <c r="GG5323"/>
      <c r="GH5323"/>
    </row>
    <row r="5324" spans="187:190" s="1" customFormat="1" ht="18" customHeight="1" x14ac:dyDescent="0.2">
      <c r="GE5324"/>
      <c r="GF5324"/>
      <c r="GG5324"/>
      <c r="GH5324"/>
    </row>
    <row r="5325" spans="187:190" s="1" customFormat="1" ht="18" customHeight="1" x14ac:dyDescent="0.2">
      <c r="GE5325"/>
      <c r="GF5325"/>
      <c r="GG5325"/>
      <c r="GH5325"/>
    </row>
    <row r="5326" spans="187:190" s="1" customFormat="1" ht="18" customHeight="1" x14ac:dyDescent="0.2">
      <c r="GE5326"/>
      <c r="GF5326"/>
      <c r="GG5326"/>
      <c r="GH5326"/>
    </row>
    <row r="5327" spans="187:190" s="1" customFormat="1" ht="18" customHeight="1" x14ac:dyDescent="0.2">
      <c r="GE5327"/>
      <c r="GF5327"/>
      <c r="GG5327"/>
      <c r="GH5327"/>
    </row>
    <row r="5328" spans="187:190" s="1" customFormat="1" ht="18" customHeight="1" x14ac:dyDescent="0.2">
      <c r="GE5328"/>
      <c r="GF5328"/>
      <c r="GG5328"/>
      <c r="GH5328"/>
    </row>
    <row r="5329" spans="187:190" s="1" customFormat="1" ht="18" customHeight="1" x14ac:dyDescent="0.2">
      <c r="GE5329"/>
      <c r="GF5329"/>
      <c r="GG5329"/>
      <c r="GH5329"/>
    </row>
    <row r="5330" spans="187:190" s="1" customFormat="1" ht="18" customHeight="1" x14ac:dyDescent="0.2">
      <c r="GE5330"/>
      <c r="GF5330"/>
      <c r="GG5330"/>
      <c r="GH5330"/>
    </row>
    <row r="5331" spans="187:190" s="1" customFormat="1" ht="18" customHeight="1" x14ac:dyDescent="0.2">
      <c r="GE5331"/>
      <c r="GF5331"/>
      <c r="GG5331"/>
      <c r="GH5331"/>
    </row>
    <row r="5332" spans="187:190" s="1" customFormat="1" ht="18" customHeight="1" x14ac:dyDescent="0.2">
      <c r="GE5332"/>
      <c r="GF5332"/>
      <c r="GG5332"/>
      <c r="GH5332"/>
    </row>
    <row r="5333" spans="187:190" s="1" customFormat="1" ht="18" customHeight="1" x14ac:dyDescent="0.2">
      <c r="GE5333"/>
      <c r="GF5333"/>
      <c r="GG5333"/>
      <c r="GH5333"/>
    </row>
    <row r="5334" spans="187:190" s="1" customFormat="1" ht="18" customHeight="1" x14ac:dyDescent="0.2">
      <c r="GE5334"/>
      <c r="GF5334"/>
      <c r="GG5334"/>
      <c r="GH5334"/>
    </row>
    <row r="5335" spans="187:190" s="1" customFormat="1" ht="18" customHeight="1" x14ac:dyDescent="0.2">
      <c r="GE5335"/>
      <c r="GF5335"/>
      <c r="GG5335"/>
      <c r="GH5335"/>
    </row>
    <row r="5336" spans="187:190" s="1" customFormat="1" ht="18" customHeight="1" x14ac:dyDescent="0.2">
      <c r="GE5336"/>
      <c r="GF5336"/>
      <c r="GG5336"/>
      <c r="GH5336"/>
    </row>
    <row r="5337" spans="187:190" s="1" customFormat="1" ht="18" customHeight="1" x14ac:dyDescent="0.2">
      <c r="GE5337"/>
      <c r="GF5337"/>
      <c r="GG5337"/>
      <c r="GH5337"/>
    </row>
    <row r="5338" spans="187:190" s="1" customFormat="1" ht="18" customHeight="1" x14ac:dyDescent="0.2">
      <c r="GE5338"/>
      <c r="GF5338"/>
      <c r="GG5338"/>
      <c r="GH5338"/>
    </row>
    <row r="5339" spans="187:190" s="1" customFormat="1" ht="18" customHeight="1" x14ac:dyDescent="0.2">
      <c r="GE5339"/>
      <c r="GF5339"/>
      <c r="GG5339"/>
      <c r="GH5339"/>
    </row>
    <row r="5340" spans="187:190" s="1" customFormat="1" ht="18" customHeight="1" x14ac:dyDescent="0.2">
      <c r="GE5340"/>
      <c r="GF5340"/>
      <c r="GG5340"/>
      <c r="GH5340"/>
    </row>
    <row r="5341" spans="187:190" s="1" customFormat="1" ht="18" customHeight="1" x14ac:dyDescent="0.2">
      <c r="GE5341"/>
      <c r="GF5341"/>
      <c r="GG5341"/>
      <c r="GH5341"/>
    </row>
    <row r="5342" spans="187:190" s="1" customFormat="1" ht="18" customHeight="1" x14ac:dyDescent="0.2">
      <c r="GE5342"/>
      <c r="GF5342"/>
      <c r="GG5342"/>
      <c r="GH5342"/>
    </row>
    <row r="5343" spans="187:190" s="1" customFormat="1" ht="18" customHeight="1" x14ac:dyDescent="0.2">
      <c r="GE5343"/>
      <c r="GF5343"/>
      <c r="GG5343"/>
      <c r="GH5343"/>
    </row>
    <row r="5344" spans="187:190" s="1" customFormat="1" ht="18" customHeight="1" x14ac:dyDescent="0.2">
      <c r="GE5344"/>
      <c r="GF5344"/>
      <c r="GG5344"/>
      <c r="GH5344"/>
    </row>
    <row r="5345" spans="187:190" s="1" customFormat="1" ht="18" customHeight="1" x14ac:dyDescent="0.2">
      <c r="GE5345"/>
      <c r="GF5345"/>
      <c r="GG5345"/>
      <c r="GH5345"/>
    </row>
    <row r="5346" spans="187:190" s="1" customFormat="1" ht="18" customHeight="1" x14ac:dyDescent="0.2">
      <c r="GE5346"/>
      <c r="GF5346"/>
      <c r="GG5346"/>
      <c r="GH5346"/>
    </row>
    <row r="5347" spans="187:190" s="1" customFormat="1" ht="18" customHeight="1" x14ac:dyDescent="0.2">
      <c r="GE5347"/>
      <c r="GF5347"/>
      <c r="GG5347"/>
      <c r="GH5347"/>
    </row>
    <row r="5348" spans="187:190" s="1" customFormat="1" ht="18" customHeight="1" x14ac:dyDescent="0.2">
      <c r="GE5348"/>
      <c r="GF5348"/>
      <c r="GG5348"/>
      <c r="GH5348"/>
    </row>
    <row r="5349" spans="187:190" s="1" customFormat="1" ht="18" customHeight="1" x14ac:dyDescent="0.2">
      <c r="GE5349"/>
      <c r="GF5349"/>
      <c r="GG5349"/>
      <c r="GH5349"/>
    </row>
    <row r="5350" spans="187:190" s="1" customFormat="1" ht="18" customHeight="1" x14ac:dyDescent="0.2">
      <c r="GE5350"/>
      <c r="GF5350"/>
      <c r="GG5350"/>
      <c r="GH5350"/>
    </row>
    <row r="5351" spans="187:190" s="1" customFormat="1" ht="18" customHeight="1" x14ac:dyDescent="0.2">
      <c r="GE5351"/>
      <c r="GF5351"/>
      <c r="GG5351"/>
      <c r="GH5351"/>
    </row>
    <row r="5352" spans="187:190" s="1" customFormat="1" ht="18" customHeight="1" x14ac:dyDescent="0.2">
      <c r="GE5352"/>
      <c r="GF5352"/>
      <c r="GG5352"/>
      <c r="GH5352"/>
    </row>
    <row r="5353" spans="187:190" s="1" customFormat="1" ht="18" customHeight="1" x14ac:dyDescent="0.2">
      <c r="GE5353"/>
      <c r="GF5353"/>
      <c r="GG5353"/>
      <c r="GH5353"/>
    </row>
    <row r="5354" spans="187:190" s="1" customFormat="1" ht="18" customHeight="1" x14ac:dyDescent="0.2">
      <c r="GE5354"/>
      <c r="GF5354"/>
      <c r="GG5354"/>
      <c r="GH5354"/>
    </row>
    <row r="5355" spans="187:190" s="1" customFormat="1" ht="18" customHeight="1" x14ac:dyDescent="0.2">
      <c r="GE5355"/>
      <c r="GF5355"/>
      <c r="GG5355"/>
      <c r="GH5355"/>
    </row>
    <row r="5356" spans="187:190" s="1" customFormat="1" ht="18" customHeight="1" x14ac:dyDescent="0.2">
      <c r="GE5356"/>
      <c r="GF5356"/>
      <c r="GG5356"/>
      <c r="GH5356"/>
    </row>
    <row r="5357" spans="187:190" s="1" customFormat="1" ht="18" customHeight="1" x14ac:dyDescent="0.2">
      <c r="GE5357"/>
      <c r="GF5357"/>
      <c r="GG5357"/>
      <c r="GH5357"/>
    </row>
    <row r="5358" spans="187:190" s="1" customFormat="1" ht="18" customHeight="1" x14ac:dyDescent="0.2">
      <c r="GE5358"/>
      <c r="GF5358"/>
      <c r="GG5358"/>
      <c r="GH5358"/>
    </row>
    <row r="5359" spans="187:190" s="1" customFormat="1" ht="18" customHeight="1" x14ac:dyDescent="0.2">
      <c r="GE5359"/>
      <c r="GF5359"/>
      <c r="GG5359"/>
      <c r="GH5359"/>
    </row>
    <row r="5360" spans="187:190" s="1" customFormat="1" ht="18" customHeight="1" x14ac:dyDescent="0.2">
      <c r="GE5360"/>
      <c r="GF5360"/>
      <c r="GG5360"/>
      <c r="GH5360"/>
    </row>
    <row r="5361" spans="187:190" s="1" customFormat="1" ht="18" customHeight="1" x14ac:dyDescent="0.2">
      <c r="GE5361"/>
      <c r="GF5361"/>
      <c r="GG5361"/>
      <c r="GH5361"/>
    </row>
    <row r="5362" spans="187:190" s="1" customFormat="1" ht="18" customHeight="1" x14ac:dyDescent="0.2">
      <c r="GE5362"/>
      <c r="GF5362"/>
      <c r="GG5362"/>
      <c r="GH5362"/>
    </row>
    <row r="5363" spans="187:190" s="1" customFormat="1" ht="18" customHeight="1" x14ac:dyDescent="0.2">
      <c r="GE5363"/>
      <c r="GF5363"/>
      <c r="GG5363"/>
      <c r="GH5363"/>
    </row>
    <row r="5364" spans="187:190" s="1" customFormat="1" ht="18" customHeight="1" x14ac:dyDescent="0.2">
      <c r="GE5364"/>
      <c r="GF5364"/>
      <c r="GG5364"/>
      <c r="GH5364"/>
    </row>
    <row r="5365" spans="187:190" s="1" customFormat="1" ht="18" customHeight="1" x14ac:dyDescent="0.2">
      <c r="GE5365"/>
      <c r="GF5365"/>
      <c r="GG5365"/>
      <c r="GH5365"/>
    </row>
    <row r="5366" spans="187:190" s="1" customFormat="1" ht="18" customHeight="1" x14ac:dyDescent="0.2">
      <c r="GE5366"/>
      <c r="GF5366"/>
      <c r="GG5366"/>
      <c r="GH5366"/>
    </row>
    <row r="5367" spans="187:190" s="1" customFormat="1" ht="18" customHeight="1" x14ac:dyDescent="0.2">
      <c r="GE5367"/>
      <c r="GF5367"/>
      <c r="GG5367"/>
      <c r="GH5367"/>
    </row>
    <row r="5368" spans="187:190" s="1" customFormat="1" ht="18" customHeight="1" x14ac:dyDescent="0.2">
      <c r="GE5368"/>
      <c r="GF5368"/>
      <c r="GG5368"/>
      <c r="GH5368"/>
    </row>
    <row r="5369" spans="187:190" s="1" customFormat="1" ht="18" customHeight="1" x14ac:dyDescent="0.2">
      <c r="GE5369"/>
      <c r="GF5369"/>
      <c r="GG5369"/>
      <c r="GH5369"/>
    </row>
    <row r="5370" spans="187:190" s="1" customFormat="1" ht="18" customHeight="1" x14ac:dyDescent="0.2">
      <c r="GE5370"/>
      <c r="GF5370"/>
      <c r="GG5370"/>
      <c r="GH5370"/>
    </row>
    <row r="5371" spans="187:190" s="1" customFormat="1" ht="18" customHeight="1" x14ac:dyDescent="0.2">
      <c r="GE5371"/>
      <c r="GF5371"/>
      <c r="GG5371"/>
      <c r="GH5371"/>
    </row>
    <row r="5372" spans="187:190" s="1" customFormat="1" ht="18" customHeight="1" x14ac:dyDescent="0.2">
      <c r="GE5372"/>
      <c r="GF5372"/>
      <c r="GG5372"/>
      <c r="GH5372"/>
    </row>
    <row r="5373" spans="187:190" s="1" customFormat="1" ht="18" customHeight="1" x14ac:dyDescent="0.2">
      <c r="GE5373"/>
      <c r="GF5373"/>
      <c r="GG5373"/>
      <c r="GH5373"/>
    </row>
    <row r="5374" spans="187:190" s="1" customFormat="1" ht="18" customHeight="1" x14ac:dyDescent="0.2">
      <c r="GE5374"/>
      <c r="GF5374"/>
      <c r="GG5374"/>
      <c r="GH5374"/>
    </row>
    <row r="5375" spans="187:190" s="1" customFormat="1" ht="18" customHeight="1" x14ac:dyDescent="0.2">
      <c r="GE5375"/>
      <c r="GF5375"/>
      <c r="GG5375"/>
      <c r="GH5375"/>
    </row>
    <row r="5376" spans="187:190" s="1" customFormat="1" ht="18" customHeight="1" x14ac:dyDescent="0.2">
      <c r="GE5376"/>
      <c r="GF5376"/>
      <c r="GG5376"/>
      <c r="GH5376"/>
    </row>
    <row r="5377" spans="187:190" s="1" customFormat="1" ht="18" customHeight="1" x14ac:dyDescent="0.2">
      <c r="GE5377"/>
      <c r="GF5377"/>
      <c r="GG5377"/>
      <c r="GH5377"/>
    </row>
    <row r="5378" spans="187:190" s="1" customFormat="1" ht="18" customHeight="1" x14ac:dyDescent="0.2">
      <c r="GE5378"/>
      <c r="GF5378"/>
      <c r="GG5378"/>
      <c r="GH5378"/>
    </row>
    <row r="5379" spans="187:190" s="1" customFormat="1" ht="18" customHeight="1" x14ac:dyDescent="0.2">
      <c r="GE5379"/>
      <c r="GF5379"/>
      <c r="GG5379"/>
      <c r="GH5379"/>
    </row>
    <row r="5380" spans="187:190" s="1" customFormat="1" ht="18" customHeight="1" x14ac:dyDescent="0.2">
      <c r="GE5380"/>
      <c r="GF5380"/>
      <c r="GG5380"/>
      <c r="GH5380"/>
    </row>
    <row r="5381" spans="187:190" s="1" customFormat="1" ht="18" customHeight="1" x14ac:dyDescent="0.2">
      <c r="GE5381"/>
      <c r="GF5381"/>
      <c r="GG5381"/>
      <c r="GH5381"/>
    </row>
    <row r="5382" spans="187:190" s="1" customFormat="1" ht="18" customHeight="1" x14ac:dyDescent="0.2">
      <c r="GE5382"/>
      <c r="GF5382"/>
      <c r="GG5382"/>
      <c r="GH5382"/>
    </row>
    <row r="5383" spans="187:190" s="1" customFormat="1" ht="18" customHeight="1" x14ac:dyDescent="0.2">
      <c r="GE5383"/>
      <c r="GF5383"/>
      <c r="GG5383"/>
      <c r="GH5383"/>
    </row>
    <row r="5384" spans="187:190" s="1" customFormat="1" ht="18" customHeight="1" x14ac:dyDescent="0.2">
      <c r="GE5384"/>
      <c r="GF5384"/>
      <c r="GG5384"/>
      <c r="GH5384"/>
    </row>
    <row r="5385" spans="187:190" s="1" customFormat="1" ht="18" customHeight="1" x14ac:dyDescent="0.2">
      <c r="GE5385"/>
      <c r="GF5385"/>
      <c r="GG5385"/>
      <c r="GH5385"/>
    </row>
    <row r="5386" spans="187:190" s="1" customFormat="1" ht="18" customHeight="1" x14ac:dyDescent="0.2">
      <c r="GE5386"/>
      <c r="GF5386"/>
      <c r="GG5386"/>
      <c r="GH5386"/>
    </row>
    <row r="5387" spans="187:190" s="1" customFormat="1" ht="18" customHeight="1" x14ac:dyDescent="0.2">
      <c r="GE5387"/>
      <c r="GF5387"/>
      <c r="GG5387"/>
      <c r="GH5387"/>
    </row>
    <row r="5388" spans="187:190" s="1" customFormat="1" ht="18" customHeight="1" x14ac:dyDescent="0.2">
      <c r="GE5388"/>
      <c r="GF5388"/>
      <c r="GG5388"/>
      <c r="GH5388"/>
    </row>
    <row r="5389" spans="187:190" s="1" customFormat="1" ht="18" customHeight="1" x14ac:dyDescent="0.2">
      <c r="GE5389"/>
      <c r="GF5389"/>
      <c r="GG5389"/>
      <c r="GH5389"/>
    </row>
    <row r="5390" spans="187:190" s="1" customFormat="1" ht="18" customHeight="1" x14ac:dyDescent="0.2">
      <c r="GE5390"/>
      <c r="GF5390"/>
      <c r="GG5390"/>
      <c r="GH5390"/>
    </row>
    <row r="5391" spans="187:190" s="1" customFormat="1" ht="18" customHeight="1" x14ac:dyDescent="0.2">
      <c r="GE5391"/>
      <c r="GF5391"/>
      <c r="GG5391"/>
      <c r="GH5391"/>
    </row>
    <row r="5392" spans="187:190" s="1" customFormat="1" ht="18" customHeight="1" x14ac:dyDescent="0.2">
      <c r="GE5392"/>
      <c r="GF5392"/>
      <c r="GG5392"/>
      <c r="GH5392"/>
    </row>
    <row r="5393" spans="187:190" s="1" customFormat="1" ht="18" customHeight="1" x14ac:dyDescent="0.2">
      <c r="GE5393"/>
      <c r="GF5393"/>
      <c r="GG5393"/>
      <c r="GH5393"/>
    </row>
    <row r="5394" spans="187:190" s="1" customFormat="1" ht="18" customHeight="1" x14ac:dyDescent="0.2">
      <c r="GE5394"/>
      <c r="GF5394"/>
      <c r="GG5394"/>
      <c r="GH5394"/>
    </row>
    <row r="5395" spans="187:190" s="1" customFormat="1" ht="18" customHeight="1" x14ac:dyDescent="0.2">
      <c r="GE5395"/>
      <c r="GF5395"/>
      <c r="GG5395"/>
      <c r="GH5395"/>
    </row>
    <row r="5396" spans="187:190" s="1" customFormat="1" ht="18" customHeight="1" x14ac:dyDescent="0.2">
      <c r="GE5396"/>
      <c r="GF5396"/>
      <c r="GG5396"/>
      <c r="GH5396"/>
    </row>
    <row r="5397" spans="187:190" s="1" customFormat="1" ht="18" customHeight="1" x14ac:dyDescent="0.2">
      <c r="GE5397"/>
      <c r="GF5397"/>
      <c r="GG5397"/>
      <c r="GH5397"/>
    </row>
    <row r="5398" spans="187:190" s="1" customFormat="1" ht="18" customHeight="1" x14ac:dyDescent="0.2">
      <c r="GE5398"/>
      <c r="GF5398"/>
      <c r="GG5398"/>
      <c r="GH5398"/>
    </row>
    <row r="5399" spans="187:190" s="1" customFormat="1" ht="18" customHeight="1" x14ac:dyDescent="0.2">
      <c r="GE5399"/>
      <c r="GF5399"/>
      <c r="GG5399"/>
      <c r="GH5399"/>
    </row>
    <row r="5400" spans="187:190" s="1" customFormat="1" ht="18" customHeight="1" x14ac:dyDescent="0.2">
      <c r="GE5400"/>
      <c r="GF5400"/>
      <c r="GG5400"/>
      <c r="GH5400"/>
    </row>
    <row r="5401" spans="187:190" s="1" customFormat="1" ht="18" customHeight="1" x14ac:dyDescent="0.2">
      <c r="GE5401"/>
      <c r="GF5401"/>
      <c r="GG5401"/>
      <c r="GH5401"/>
    </row>
    <row r="5402" spans="187:190" s="1" customFormat="1" ht="18" customHeight="1" x14ac:dyDescent="0.2">
      <c r="GE5402"/>
      <c r="GF5402"/>
      <c r="GG5402"/>
      <c r="GH5402"/>
    </row>
    <row r="5403" spans="187:190" s="1" customFormat="1" ht="18" customHeight="1" x14ac:dyDescent="0.2">
      <c r="GE5403"/>
      <c r="GF5403"/>
      <c r="GG5403"/>
      <c r="GH5403"/>
    </row>
    <row r="5404" spans="187:190" s="1" customFormat="1" ht="18" customHeight="1" x14ac:dyDescent="0.2">
      <c r="GE5404"/>
      <c r="GF5404"/>
      <c r="GG5404"/>
      <c r="GH5404"/>
    </row>
    <row r="5405" spans="187:190" s="1" customFormat="1" ht="18" customHeight="1" x14ac:dyDescent="0.2">
      <c r="GE5405"/>
      <c r="GF5405"/>
      <c r="GG5405"/>
      <c r="GH5405"/>
    </row>
    <row r="5406" spans="187:190" s="1" customFormat="1" ht="18" customHeight="1" x14ac:dyDescent="0.2">
      <c r="GE5406"/>
      <c r="GF5406"/>
      <c r="GG5406"/>
      <c r="GH5406"/>
    </row>
    <row r="5407" spans="187:190" s="1" customFormat="1" ht="18" customHeight="1" x14ac:dyDescent="0.2">
      <c r="GE5407"/>
      <c r="GF5407"/>
      <c r="GG5407"/>
      <c r="GH5407"/>
    </row>
    <row r="5408" spans="187:190" s="1" customFormat="1" ht="18" customHeight="1" x14ac:dyDescent="0.2">
      <c r="GE5408"/>
      <c r="GF5408"/>
      <c r="GG5408"/>
      <c r="GH5408"/>
    </row>
    <row r="5409" spans="187:190" s="1" customFormat="1" ht="18" customHeight="1" x14ac:dyDescent="0.2">
      <c r="GE5409"/>
      <c r="GF5409"/>
      <c r="GG5409"/>
      <c r="GH5409"/>
    </row>
    <row r="5410" spans="187:190" s="1" customFormat="1" ht="18" customHeight="1" x14ac:dyDescent="0.2">
      <c r="GE5410"/>
      <c r="GF5410"/>
      <c r="GG5410"/>
      <c r="GH5410"/>
    </row>
    <row r="5411" spans="187:190" s="1" customFormat="1" ht="18" customHeight="1" x14ac:dyDescent="0.2">
      <c r="GE5411"/>
      <c r="GF5411"/>
      <c r="GG5411"/>
      <c r="GH5411"/>
    </row>
    <row r="5412" spans="187:190" s="1" customFormat="1" ht="18" customHeight="1" x14ac:dyDescent="0.2">
      <c r="GE5412"/>
      <c r="GF5412"/>
      <c r="GG5412"/>
      <c r="GH5412"/>
    </row>
    <row r="5413" spans="187:190" s="1" customFormat="1" ht="18" customHeight="1" x14ac:dyDescent="0.2">
      <c r="GE5413"/>
      <c r="GF5413"/>
      <c r="GG5413"/>
      <c r="GH5413"/>
    </row>
    <row r="5414" spans="187:190" s="1" customFormat="1" ht="18" customHeight="1" x14ac:dyDescent="0.2">
      <c r="GE5414"/>
      <c r="GF5414"/>
      <c r="GG5414"/>
      <c r="GH5414"/>
    </row>
    <row r="5415" spans="187:190" s="1" customFormat="1" ht="18" customHeight="1" x14ac:dyDescent="0.2">
      <c r="GE5415"/>
      <c r="GF5415"/>
      <c r="GG5415"/>
      <c r="GH5415"/>
    </row>
    <row r="5416" spans="187:190" s="1" customFormat="1" ht="18" customHeight="1" x14ac:dyDescent="0.2">
      <c r="GE5416"/>
      <c r="GF5416"/>
      <c r="GG5416"/>
      <c r="GH5416"/>
    </row>
    <row r="5417" spans="187:190" s="1" customFormat="1" ht="18" customHeight="1" x14ac:dyDescent="0.2">
      <c r="GE5417"/>
      <c r="GF5417"/>
      <c r="GG5417"/>
      <c r="GH5417"/>
    </row>
    <row r="5418" spans="187:190" s="1" customFormat="1" ht="18" customHeight="1" x14ac:dyDescent="0.2">
      <c r="GE5418"/>
      <c r="GF5418"/>
      <c r="GG5418"/>
      <c r="GH5418"/>
    </row>
    <row r="5419" spans="187:190" s="1" customFormat="1" ht="18" customHeight="1" x14ac:dyDescent="0.2">
      <c r="GE5419"/>
      <c r="GF5419"/>
      <c r="GG5419"/>
      <c r="GH5419"/>
    </row>
    <row r="5420" spans="187:190" s="1" customFormat="1" ht="18" customHeight="1" x14ac:dyDescent="0.2">
      <c r="GE5420"/>
      <c r="GF5420"/>
      <c r="GG5420"/>
      <c r="GH5420"/>
    </row>
    <row r="5421" spans="187:190" s="1" customFormat="1" ht="18" customHeight="1" x14ac:dyDescent="0.2">
      <c r="GE5421"/>
      <c r="GF5421"/>
      <c r="GG5421"/>
      <c r="GH5421"/>
    </row>
    <row r="5422" spans="187:190" s="1" customFormat="1" ht="18" customHeight="1" x14ac:dyDescent="0.2">
      <c r="GE5422"/>
      <c r="GF5422"/>
      <c r="GG5422"/>
      <c r="GH5422"/>
    </row>
    <row r="5423" spans="187:190" s="1" customFormat="1" ht="18" customHeight="1" x14ac:dyDescent="0.2">
      <c r="GE5423"/>
      <c r="GF5423"/>
      <c r="GG5423"/>
      <c r="GH5423"/>
    </row>
    <row r="5424" spans="187:190" s="1" customFormat="1" ht="18" customHeight="1" x14ac:dyDescent="0.2">
      <c r="GE5424"/>
      <c r="GF5424"/>
      <c r="GG5424"/>
      <c r="GH5424"/>
    </row>
    <row r="5425" spans="187:190" s="1" customFormat="1" ht="18" customHeight="1" x14ac:dyDescent="0.2">
      <c r="GE5425"/>
      <c r="GF5425"/>
      <c r="GG5425"/>
      <c r="GH5425"/>
    </row>
    <row r="5426" spans="187:190" s="1" customFormat="1" ht="18" customHeight="1" x14ac:dyDescent="0.2">
      <c r="GE5426"/>
      <c r="GF5426"/>
      <c r="GG5426"/>
      <c r="GH5426"/>
    </row>
    <row r="5427" spans="187:190" s="1" customFormat="1" ht="18" customHeight="1" x14ac:dyDescent="0.2">
      <c r="GE5427"/>
      <c r="GF5427"/>
      <c r="GG5427"/>
      <c r="GH5427"/>
    </row>
    <row r="5428" spans="187:190" s="1" customFormat="1" ht="18" customHeight="1" x14ac:dyDescent="0.2">
      <c r="GE5428"/>
      <c r="GF5428"/>
      <c r="GG5428"/>
      <c r="GH5428"/>
    </row>
    <row r="5429" spans="187:190" s="1" customFormat="1" ht="18" customHeight="1" x14ac:dyDescent="0.2">
      <c r="GE5429"/>
      <c r="GF5429"/>
      <c r="GG5429"/>
      <c r="GH5429"/>
    </row>
    <row r="5430" spans="187:190" s="1" customFormat="1" ht="18" customHeight="1" x14ac:dyDescent="0.2">
      <c r="GE5430"/>
      <c r="GF5430"/>
      <c r="GG5430"/>
      <c r="GH5430"/>
    </row>
    <row r="5431" spans="187:190" s="1" customFormat="1" ht="18" customHeight="1" x14ac:dyDescent="0.2">
      <c r="GE5431"/>
      <c r="GF5431"/>
      <c r="GG5431"/>
      <c r="GH5431"/>
    </row>
    <row r="5432" spans="187:190" s="1" customFormat="1" ht="18" customHeight="1" x14ac:dyDescent="0.2">
      <c r="GE5432"/>
      <c r="GF5432"/>
      <c r="GG5432"/>
      <c r="GH5432"/>
    </row>
    <row r="5433" spans="187:190" s="1" customFormat="1" ht="18" customHeight="1" x14ac:dyDescent="0.2">
      <c r="GE5433"/>
      <c r="GF5433"/>
      <c r="GG5433"/>
      <c r="GH5433"/>
    </row>
    <row r="5434" spans="187:190" s="1" customFormat="1" ht="18" customHeight="1" x14ac:dyDescent="0.2">
      <c r="GE5434"/>
      <c r="GF5434"/>
      <c r="GG5434"/>
      <c r="GH5434"/>
    </row>
    <row r="5435" spans="187:190" s="1" customFormat="1" ht="18" customHeight="1" x14ac:dyDescent="0.2">
      <c r="GE5435"/>
      <c r="GF5435"/>
      <c r="GG5435"/>
      <c r="GH5435"/>
    </row>
    <row r="5436" spans="187:190" s="1" customFormat="1" ht="18" customHeight="1" x14ac:dyDescent="0.2">
      <c r="GE5436"/>
      <c r="GF5436"/>
      <c r="GG5436"/>
      <c r="GH5436"/>
    </row>
    <row r="5437" spans="187:190" s="1" customFormat="1" ht="18" customHeight="1" x14ac:dyDescent="0.2">
      <c r="GE5437"/>
      <c r="GF5437"/>
      <c r="GG5437"/>
      <c r="GH5437"/>
    </row>
    <row r="5438" spans="187:190" s="1" customFormat="1" ht="18" customHeight="1" x14ac:dyDescent="0.2">
      <c r="GE5438"/>
      <c r="GF5438"/>
      <c r="GG5438"/>
      <c r="GH5438"/>
    </row>
    <row r="5439" spans="187:190" s="1" customFormat="1" ht="18" customHeight="1" x14ac:dyDescent="0.2">
      <c r="GE5439"/>
      <c r="GF5439"/>
      <c r="GG5439"/>
      <c r="GH5439"/>
    </row>
    <row r="5440" spans="187:190" s="1" customFormat="1" ht="18" customHeight="1" x14ac:dyDescent="0.2">
      <c r="GE5440"/>
      <c r="GF5440"/>
      <c r="GG5440"/>
      <c r="GH5440"/>
    </row>
    <row r="5441" spans="187:190" s="1" customFormat="1" ht="18" customHeight="1" x14ac:dyDescent="0.2">
      <c r="GE5441"/>
      <c r="GF5441"/>
      <c r="GG5441"/>
      <c r="GH5441"/>
    </row>
    <row r="5442" spans="187:190" s="1" customFormat="1" ht="18" customHeight="1" x14ac:dyDescent="0.2">
      <c r="GE5442"/>
      <c r="GF5442"/>
      <c r="GG5442"/>
      <c r="GH5442"/>
    </row>
    <row r="5443" spans="187:190" s="1" customFormat="1" ht="18" customHeight="1" x14ac:dyDescent="0.2">
      <c r="GE5443"/>
      <c r="GF5443"/>
      <c r="GG5443"/>
      <c r="GH5443"/>
    </row>
    <row r="5444" spans="187:190" s="1" customFormat="1" ht="18" customHeight="1" x14ac:dyDescent="0.2">
      <c r="GE5444"/>
      <c r="GF5444"/>
      <c r="GG5444"/>
      <c r="GH5444"/>
    </row>
    <row r="5445" spans="187:190" s="1" customFormat="1" ht="18" customHeight="1" x14ac:dyDescent="0.2">
      <c r="GE5445"/>
      <c r="GF5445"/>
      <c r="GG5445"/>
      <c r="GH5445"/>
    </row>
    <row r="5446" spans="187:190" s="1" customFormat="1" ht="18" customHeight="1" x14ac:dyDescent="0.2">
      <c r="GE5446"/>
      <c r="GF5446"/>
      <c r="GG5446"/>
      <c r="GH5446"/>
    </row>
    <row r="5447" spans="187:190" s="1" customFormat="1" ht="18" customHeight="1" x14ac:dyDescent="0.2">
      <c r="GE5447"/>
      <c r="GF5447"/>
      <c r="GG5447"/>
      <c r="GH5447"/>
    </row>
    <row r="5448" spans="187:190" s="1" customFormat="1" ht="18" customHeight="1" x14ac:dyDescent="0.2">
      <c r="GE5448"/>
      <c r="GF5448"/>
      <c r="GG5448"/>
      <c r="GH5448"/>
    </row>
    <row r="5449" spans="187:190" s="1" customFormat="1" ht="18" customHeight="1" x14ac:dyDescent="0.2">
      <c r="GE5449"/>
      <c r="GF5449"/>
      <c r="GG5449"/>
      <c r="GH5449"/>
    </row>
    <row r="5450" spans="187:190" s="1" customFormat="1" ht="18" customHeight="1" x14ac:dyDescent="0.2">
      <c r="GE5450"/>
      <c r="GF5450"/>
      <c r="GG5450"/>
      <c r="GH5450"/>
    </row>
    <row r="5451" spans="187:190" s="1" customFormat="1" ht="18" customHeight="1" x14ac:dyDescent="0.2">
      <c r="GE5451"/>
      <c r="GF5451"/>
      <c r="GG5451"/>
      <c r="GH5451"/>
    </row>
    <row r="5452" spans="187:190" s="1" customFormat="1" ht="18" customHeight="1" x14ac:dyDescent="0.2">
      <c r="GE5452"/>
      <c r="GF5452"/>
      <c r="GG5452"/>
      <c r="GH5452"/>
    </row>
    <row r="5453" spans="187:190" s="1" customFormat="1" ht="18" customHeight="1" x14ac:dyDescent="0.2">
      <c r="GE5453"/>
      <c r="GF5453"/>
      <c r="GG5453"/>
      <c r="GH5453"/>
    </row>
    <row r="5454" spans="187:190" s="1" customFormat="1" ht="18" customHeight="1" x14ac:dyDescent="0.2">
      <c r="GE5454"/>
      <c r="GF5454"/>
      <c r="GG5454"/>
      <c r="GH5454"/>
    </row>
    <row r="5455" spans="187:190" s="1" customFormat="1" ht="18" customHeight="1" x14ac:dyDescent="0.2">
      <c r="GE5455"/>
      <c r="GF5455"/>
      <c r="GG5455"/>
      <c r="GH5455"/>
    </row>
    <row r="5456" spans="187:190" s="1" customFormat="1" ht="18" customHeight="1" x14ac:dyDescent="0.2">
      <c r="GE5456"/>
      <c r="GF5456"/>
      <c r="GG5456"/>
      <c r="GH5456"/>
    </row>
    <row r="5457" spans="187:190" s="1" customFormat="1" ht="18" customHeight="1" x14ac:dyDescent="0.2">
      <c r="GE5457"/>
      <c r="GF5457"/>
      <c r="GG5457"/>
      <c r="GH5457"/>
    </row>
    <row r="5458" spans="187:190" s="1" customFormat="1" ht="18" customHeight="1" x14ac:dyDescent="0.2">
      <c r="GE5458"/>
      <c r="GF5458"/>
      <c r="GG5458"/>
      <c r="GH5458"/>
    </row>
    <row r="5459" spans="187:190" s="1" customFormat="1" ht="18" customHeight="1" x14ac:dyDescent="0.2">
      <c r="GE5459"/>
      <c r="GF5459"/>
      <c r="GG5459"/>
      <c r="GH5459"/>
    </row>
    <row r="5460" spans="187:190" s="1" customFormat="1" ht="18" customHeight="1" x14ac:dyDescent="0.2">
      <c r="GE5460"/>
      <c r="GF5460"/>
      <c r="GG5460"/>
      <c r="GH5460"/>
    </row>
    <row r="5461" spans="187:190" s="1" customFormat="1" ht="18" customHeight="1" x14ac:dyDescent="0.2">
      <c r="GE5461"/>
      <c r="GF5461"/>
      <c r="GG5461"/>
      <c r="GH5461"/>
    </row>
    <row r="5462" spans="187:190" s="1" customFormat="1" ht="18" customHeight="1" x14ac:dyDescent="0.2">
      <c r="GE5462"/>
      <c r="GF5462"/>
      <c r="GG5462"/>
      <c r="GH5462"/>
    </row>
    <row r="5463" spans="187:190" s="1" customFormat="1" ht="18" customHeight="1" x14ac:dyDescent="0.2">
      <c r="GE5463"/>
      <c r="GF5463"/>
      <c r="GG5463"/>
      <c r="GH5463"/>
    </row>
    <row r="5464" spans="187:190" s="1" customFormat="1" ht="18" customHeight="1" x14ac:dyDescent="0.2">
      <c r="GE5464"/>
      <c r="GF5464"/>
      <c r="GG5464"/>
      <c r="GH5464"/>
    </row>
    <row r="5465" spans="187:190" s="1" customFormat="1" ht="18" customHeight="1" x14ac:dyDescent="0.2">
      <c r="GE5465"/>
      <c r="GF5465"/>
      <c r="GG5465"/>
      <c r="GH5465"/>
    </row>
    <row r="5466" spans="187:190" s="1" customFormat="1" ht="18" customHeight="1" x14ac:dyDescent="0.2">
      <c r="GE5466"/>
      <c r="GF5466"/>
      <c r="GG5466"/>
      <c r="GH5466"/>
    </row>
    <row r="5467" spans="187:190" s="1" customFormat="1" ht="18" customHeight="1" x14ac:dyDescent="0.2">
      <c r="GE5467"/>
      <c r="GF5467"/>
      <c r="GG5467"/>
      <c r="GH5467"/>
    </row>
    <row r="5468" spans="187:190" s="1" customFormat="1" ht="18" customHeight="1" x14ac:dyDescent="0.2">
      <c r="GE5468"/>
      <c r="GF5468"/>
      <c r="GG5468"/>
      <c r="GH5468"/>
    </row>
    <row r="5469" spans="187:190" s="1" customFormat="1" ht="18" customHeight="1" x14ac:dyDescent="0.2">
      <c r="GE5469"/>
      <c r="GF5469"/>
      <c r="GG5469"/>
      <c r="GH5469"/>
    </row>
    <row r="5470" spans="187:190" s="1" customFormat="1" ht="18" customHeight="1" x14ac:dyDescent="0.2">
      <c r="GE5470"/>
      <c r="GF5470"/>
      <c r="GG5470"/>
      <c r="GH5470"/>
    </row>
    <row r="5471" spans="187:190" s="1" customFormat="1" ht="18" customHeight="1" x14ac:dyDescent="0.2">
      <c r="GE5471"/>
      <c r="GF5471"/>
      <c r="GG5471"/>
      <c r="GH5471"/>
    </row>
    <row r="5472" spans="187:190" s="1" customFormat="1" ht="18" customHeight="1" x14ac:dyDescent="0.2">
      <c r="GE5472"/>
      <c r="GF5472"/>
      <c r="GG5472"/>
      <c r="GH5472"/>
    </row>
    <row r="5473" spans="187:190" s="1" customFormat="1" ht="18" customHeight="1" x14ac:dyDescent="0.2">
      <c r="GE5473"/>
      <c r="GF5473"/>
      <c r="GG5473"/>
      <c r="GH5473"/>
    </row>
    <row r="5474" spans="187:190" s="1" customFormat="1" ht="18" customHeight="1" x14ac:dyDescent="0.2">
      <c r="GE5474"/>
      <c r="GF5474"/>
      <c r="GG5474"/>
      <c r="GH5474"/>
    </row>
    <row r="5475" spans="187:190" s="1" customFormat="1" ht="18" customHeight="1" x14ac:dyDescent="0.2">
      <c r="GE5475"/>
      <c r="GF5475"/>
      <c r="GG5475"/>
      <c r="GH5475"/>
    </row>
    <row r="5476" spans="187:190" s="1" customFormat="1" ht="18" customHeight="1" x14ac:dyDescent="0.2">
      <c r="GE5476"/>
      <c r="GF5476"/>
      <c r="GG5476"/>
      <c r="GH5476"/>
    </row>
    <row r="5477" spans="187:190" s="1" customFormat="1" ht="18" customHeight="1" x14ac:dyDescent="0.2">
      <c r="GE5477"/>
      <c r="GF5477"/>
      <c r="GG5477"/>
      <c r="GH5477"/>
    </row>
    <row r="5478" spans="187:190" s="1" customFormat="1" ht="18" customHeight="1" x14ac:dyDescent="0.2">
      <c r="GE5478"/>
      <c r="GF5478"/>
      <c r="GG5478"/>
      <c r="GH5478"/>
    </row>
    <row r="5479" spans="187:190" s="1" customFormat="1" ht="18" customHeight="1" x14ac:dyDescent="0.2">
      <c r="GE5479"/>
      <c r="GF5479"/>
      <c r="GG5479"/>
      <c r="GH5479"/>
    </row>
    <row r="5480" spans="187:190" s="1" customFormat="1" ht="18" customHeight="1" x14ac:dyDescent="0.2">
      <c r="GE5480"/>
      <c r="GF5480"/>
      <c r="GG5480"/>
      <c r="GH5480"/>
    </row>
    <row r="5481" spans="187:190" s="1" customFormat="1" ht="18" customHeight="1" x14ac:dyDescent="0.2">
      <c r="GE5481"/>
      <c r="GF5481"/>
      <c r="GG5481"/>
      <c r="GH5481"/>
    </row>
    <row r="5482" spans="187:190" s="1" customFormat="1" ht="18" customHeight="1" x14ac:dyDescent="0.2">
      <c r="GE5482"/>
      <c r="GF5482"/>
      <c r="GG5482"/>
      <c r="GH5482"/>
    </row>
    <row r="5483" spans="187:190" s="1" customFormat="1" ht="18" customHeight="1" x14ac:dyDescent="0.2">
      <c r="GE5483"/>
      <c r="GF5483"/>
      <c r="GG5483"/>
      <c r="GH5483"/>
    </row>
    <row r="5484" spans="187:190" s="1" customFormat="1" ht="18" customHeight="1" x14ac:dyDescent="0.2">
      <c r="GE5484"/>
      <c r="GF5484"/>
      <c r="GG5484"/>
      <c r="GH5484"/>
    </row>
    <row r="5485" spans="187:190" s="1" customFormat="1" ht="18" customHeight="1" x14ac:dyDescent="0.2">
      <c r="GE5485"/>
      <c r="GF5485"/>
      <c r="GG5485"/>
      <c r="GH5485"/>
    </row>
    <row r="5486" spans="187:190" s="1" customFormat="1" ht="18" customHeight="1" x14ac:dyDescent="0.2">
      <c r="GE5486"/>
      <c r="GF5486"/>
      <c r="GG5486"/>
      <c r="GH5486"/>
    </row>
    <row r="5487" spans="187:190" s="1" customFormat="1" ht="18" customHeight="1" x14ac:dyDescent="0.2">
      <c r="GE5487"/>
      <c r="GF5487"/>
      <c r="GG5487"/>
      <c r="GH5487"/>
    </row>
    <row r="5488" spans="187:190" s="1" customFormat="1" ht="18" customHeight="1" x14ac:dyDescent="0.2">
      <c r="GE5488"/>
      <c r="GF5488"/>
      <c r="GG5488"/>
      <c r="GH5488"/>
    </row>
    <row r="5489" spans="187:190" s="1" customFormat="1" ht="18" customHeight="1" x14ac:dyDescent="0.2">
      <c r="GE5489"/>
      <c r="GF5489"/>
      <c r="GG5489"/>
      <c r="GH5489"/>
    </row>
    <row r="5490" spans="187:190" s="1" customFormat="1" ht="18" customHeight="1" x14ac:dyDescent="0.2">
      <c r="GE5490"/>
      <c r="GF5490"/>
      <c r="GG5490"/>
      <c r="GH5490"/>
    </row>
    <row r="5491" spans="187:190" s="1" customFormat="1" ht="18" customHeight="1" x14ac:dyDescent="0.2">
      <c r="GE5491"/>
      <c r="GF5491"/>
      <c r="GG5491"/>
      <c r="GH5491"/>
    </row>
    <row r="5492" spans="187:190" s="1" customFormat="1" ht="18" customHeight="1" x14ac:dyDescent="0.2">
      <c r="GE5492"/>
      <c r="GF5492"/>
      <c r="GG5492"/>
      <c r="GH5492"/>
    </row>
    <row r="5493" spans="187:190" s="1" customFormat="1" ht="18" customHeight="1" x14ac:dyDescent="0.2">
      <c r="GE5493"/>
      <c r="GF5493"/>
      <c r="GG5493"/>
      <c r="GH5493"/>
    </row>
    <row r="5494" spans="187:190" s="1" customFormat="1" ht="18" customHeight="1" x14ac:dyDescent="0.2">
      <c r="GE5494"/>
      <c r="GF5494"/>
      <c r="GG5494"/>
      <c r="GH5494"/>
    </row>
    <row r="5495" spans="187:190" s="1" customFormat="1" ht="18" customHeight="1" x14ac:dyDescent="0.2">
      <c r="GE5495"/>
      <c r="GF5495"/>
      <c r="GG5495"/>
      <c r="GH5495"/>
    </row>
    <row r="5496" spans="187:190" s="1" customFormat="1" ht="18" customHeight="1" x14ac:dyDescent="0.2">
      <c r="GE5496"/>
      <c r="GF5496"/>
      <c r="GG5496"/>
      <c r="GH5496"/>
    </row>
    <row r="5497" spans="187:190" s="1" customFormat="1" ht="18" customHeight="1" x14ac:dyDescent="0.2">
      <c r="GE5497"/>
      <c r="GF5497"/>
      <c r="GG5497"/>
      <c r="GH5497"/>
    </row>
    <row r="5498" spans="187:190" s="1" customFormat="1" ht="18" customHeight="1" x14ac:dyDescent="0.2">
      <c r="GE5498"/>
      <c r="GF5498"/>
      <c r="GG5498"/>
      <c r="GH5498"/>
    </row>
    <row r="5499" spans="187:190" s="1" customFormat="1" ht="18" customHeight="1" x14ac:dyDescent="0.2">
      <c r="GE5499"/>
      <c r="GF5499"/>
      <c r="GG5499"/>
      <c r="GH5499"/>
    </row>
    <row r="5500" spans="187:190" s="1" customFormat="1" ht="18" customHeight="1" x14ac:dyDescent="0.2">
      <c r="GE5500"/>
      <c r="GF5500"/>
      <c r="GG5500"/>
      <c r="GH5500"/>
    </row>
    <row r="5501" spans="187:190" s="1" customFormat="1" ht="18" customHeight="1" x14ac:dyDescent="0.2">
      <c r="GE5501"/>
      <c r="GF5501"/>
      <c r="GG5501"/>
      <c r="GH5501"/>
    </row>
    <row r="5502" spans="187:190" s="1" customFormat="1" ht="18" customHeight="1" x14ac:dyDescent="0.2">
      <c r="GE5502"/>
      <c r="GF5502"/>
      <c r="GG5502"/>
      <c r="GH5502"/>
    </row>
    <row r="5503" spans="187:190" s="1" customFormat="1" ht="18" customHeight="1" x14ac:dyDescent="0.2">
      <c r="GE5503"/>
      <c r="GF5503"/>
      <c r="GG5503"/>
      <c r="GH5503"/>
    </row>
    <row r="5504" spans="187:190" s="1" customFormat="1" ht="18" customHeight="1" x14ac:dyDescent="0.2">
      <c r="GE5504"/>
      <c r="GF5504"/>
      <c r="GG5504"/>
      <c r="GH5504"/>
    </row>
    <row r="5505" spans="187:190" s="1" customFormat="1" ht="18" customHeight="1" x14ac:dyDescent="0.2">
      <c r="GE5505"/>
      <c r="GF5505"/>
      <c r="GG5505"/>
      <c r="GH5505"/>
    </row>
    <row r="5506" spans="187:190" s="1" customFormat="1" ht="18" customHeight="1" x14ac:dyDescent="0.2">
      <c r="GE5506"/>
      <c r="GF5506"/>
      <c r="GG5506"/>
      <c r="GH5506"/>
    </row>
    <row r="5507" spans="187:190" s="1" customFormat="1" ht="18" customHeight="1" x14ac:dyDescent="0.2">
      <c r="GE5507"/>
      <c r="GF5507"/>
      <c r="GG5507"/>
      <c r="GH5507"/>
    </row>
    <row r="5508" spans="187:190" s="1" customFormat="1" ht="18" customHeight="1" x14ac:dyDescent="0.2">
      <c r="GE5508"/>
      <c r="GF5508"/>
      <c r="GG5508"/>
      <c r="GH5508"/>
    </row>
    <row r="5509" spans="187:190" s="1" customFormat="1" ht="18" customHeight="1" x14ac:dyDescent="0.2">
      <c r="GE5509"/>
      <c r="GF5509"/>
      <c r="GG5509"/>
      <c r="GH5509"/>
    </row>
    <row r="5510" spans="187:190" s="1" customFormat="1" ht="18" customHeight="1" x14ac:dyDescent="0.2">
      <c r="GE5510"/>
      <c r="GF5510"/>
      <c r="GG5510"/>
      <c r="GH5510"/>
    </row>
    <row r="5511" spans="187:190" s="1" customFormat="1" ht="18" customHeight="1" x14ac:dyDescent="0.2">
      <c r="GE5511"/>
      <c r="GF5511"/>
      <c r="GG5511"/>
      <c r="GH5511"/>
    </row>
    <row r="5512" spans="187:190" s="1" customFormat="1" ht="18" customHeight="1" x14ac:dyDescent="0.2">
      <c r="GE5512"/>
      <c r="GF5512"/>
      <c r="GG5512"/>
      <c r="GH5512"/>
    </row>
    <row r="5513" spans="187:190" s="1" customFormat="1" ht="18" customHeight="1" x14ac:dyDescent="0.2">
      <c r="GE5513"/>
      <c r="GF5513"/>
      <c r="GG5513"/>
      <c r="GH5513"/>
    </row>
    <row r="5514" spans="187:190" s="1" customFormat="1" ht="18" customHeight="1" x14ac:dyDescent="0.2">
      <c r="GE5514"/>
      <c r="GF5514"/>
      <c r="GG5514"/>
      <c r="GH5514"/>
    </row>
    <row r="5515" spans="187:190" s="1" customFormat="1" ht="18" customHeight="1" x14ac:dyDescent="0.2">
      <c r="GE5515"/>
      <c r="GF5515"/>
      <c r="GG5515"/>
      <c r="GH5515"/>
    </row>
    <row r="5516" spans="187:190" s="1" customFormat="1" ht="18" customHeight="1" x14ac:dyDescent="0.2">
      <c r="GE5516"/>
      <c r="GF5516"/>
      <c r="GG5516"/>
      <c r="GH5516"/>
    </row>
    <row r="5517" spans="187:190" s="1" customFormat="1" ht="18" customHeight="1" x14ac:dyDescent="0.2">
      <c r="GE5517"/>
      <c r="GF5517"/>
      <c r="GG5517"/>
      <c r="GH5517"/>
    </row>
    <row r="5518" spans="187:190" s="1" customFormat="1" ht="18" customHeight="1" x14ac:dyDescent="0.2">
      <c r="GE5518"/>
      <c r="GF5518"/>
      <c r="GG5518"/>
      <c r="GH5518"/>
    </row>
    <row r="5519" spans="187:190" s="1" customFormat="1" ht="18" customHeight="1" x14ac:dyDescent="0.2">
      <c r="GE5519"/>
      <c r="GF5519"/>
      <c r="GG5519"/>
      <c r="GH5519"/>
    </row>
    <row r="5520" spans="187:190" s="1" customFormat="1" ht="18" customHeight="1" x14ac:dyDescent="0.2">
      <c r="GE5520"/>
      <c r="GF5520"/>
      <c r="GG5520"/>
      <c r="GH5520"/>
    </row>
    <row r="5521" spans="187:190" s="1" customFormat="1" ht="18" customHeight="1" x14ac:dyDescent="0.2">
      <c r="GE5521"/>
      <c r="GF5521"/>
      <c r="GG5521"/>
      <c r="GH5521"/>
    </row>
    <row r="5522" spans="187:190" s="1" customFormat="1" ht="18" customHeight="1" x14ac:dyDescent="0.2">
      <c r="GE5522"/>
      <c r="GF5522"/>
      <c r="GG5522"/>
      <c r="GH5522"/>
    </row>
    <row r="5523" spans="187:190" s="1" customFormat="1" ht="18" customHeight="1" x14ac:dyDescent="0.2">
      <c r="GE5523"/>
      <c r="GF5523"/>
      <c r="GG5523"/>
      <c r="GH5523"/>
    </row>
    <row r="5524" spans="187:190" s="1" customFormat="1" ht="18" customHeight="1" x14ac:dyDescent="0.2">
      <c r="GE5524"/>
      <c r="GF5524"/>
      <c r="GG5524"/>
      <c r="GH5524"/>
    </row>
    <row r="5525" spans="187:190" s="1" customFormat="1" ht="18" customHeight="1" x14ac:dyDescent="0.2">
      <c r="GE5525"/>
      <c r="GF5525"/>
      <c r="GG5525"/>
      <c r="GH5525"/>
    </row>
    <row r="5526" spans="187:190" s="1" customFormat="1" ht="18" customHeight="1" x14ac:dyDescent="0.2">
      <c r="GE5526"/>
      <c r="GF5526"/>
      <c r="GG5526"/>
      <c r="GH5526"/>
    </row>
    <row r="5527" spans="187:190" s="1" customFormat="1" ht="18" customHeight="1" x14ac:dyDescent="0.2">
      <c r="GE5527"/>
      <c r="GF5527"/>
      <c r="GG5527"/>
      <c r="GH5527"/>
    </row>
    <row r="5528" spans="187:190" s="1" customFormat="1" ht="18" customHeight="1" x14ac:dyDescent="0.2">
      <c r="GE5528"/>
      <c r="GF5528"/>
      <c r="GG5528"/>
      <c r="GH5528"/>
    </row>
    <row r="5529" spans="187:190" s="1" customFormat="1" ht="18" customHeight="1" x14ac:dyDescent="0.2">
      <c r="GE5529"/>
      <c r="GF5529"/>
      <c r="GG5529"/>
      <c r="GH5529"/>
    </row>
    <row r="5530" spans="187:190" s="1" customFormat="1" ht="18" customHeight="1" x14ac:dyDescent="0.2">
      <c r="GE5530"/>
      <c r="GF5530"/>
      <c r="GG5530"/>
      <c r="GH5530"/>
    </row>
    <row r="5531" spans="187:190" s="1" customFormat="1" ht="18" customHeight="1" x14ac:dyDescent="0.2">
      <c r="GE5531"/>
      <c r="GF5531"/>
      <c r="GG5531"/>
      <c r="GH5531"/>
    </row>
    <row r="5532" spans="187:190" s="1" customFormat="1" ht="18" customHeight="1" x14ac:dyDescent="0.2">
      <c r="GE5532"/>
      <c r="GF5532"/>
      <c r="GG5532"/>
      <c r="GH5532"/>
    </row>
    <row r="5533" spans="187:190" s="1" customFormat="1" ht="18" customHeight="1" x14ac:dyDescent="0.2">
      <c r="GE5533"/>
      <c r="GF5533"/>
      <c r="GG5533"/>
      <c r="GH5533"/>
    </row>
    <row r="5534" spans="187:190" s="1" customFormat="1" ht="18" customHeight="1" x14ac:dyDescent="0.2">
      <c r="GE5534"/>
      <c r="GF5534"/>
      <c r="GG5534"/>
      <c r="GH5534"/>
    </row>
    <row r="5535" spans="187:190" s="1" customFormat="1" ht="18" customHeight="1" x14ac:dyDescent="0.2">
      <c r="GE5535"/>
      <c r="GF5535"/>
      <c r="GG5535"/>
      <c r="GH5535"/>
    </row>
    <row r="5536" spans="187:190" s="1" customFormat="1" ht="18" customHeight="1" x14ac:dyDescent="0.2">
      <c r="GE5536"/>
      <c r="GF5536"/>
      <c r="GG5536"/>
      <c r="GH5536"/>
    </row>
    <row r="5537" spans="187:190" s="1" customFormat="1" ht="18" customHeight="1" x14ac:dyDescent="0.2">
      <c r="GE5537"/>
      <c r="GF5537"/>
      <c r="GG5537"/>
      <c r="GH5537"/>
    </row>
    <row r="5538" spans="187:190" s="1" customFormat="1" ht="18" customHeight="1" x14ac:dyDescent="0.2">
      <c r="GE5538"/>
      <c r="GF5538"/>
      <c r="GG5538"/>
      <c r="GH5538"/>
    </row>
    <row r="5539" spans="187:190" s="1" customFormat="1" ht="18" customHeight="1" x14ac:dyDescent="0.2">
      <c r="GE5539"/>
      <c r="GF5539"/>
      <c r="GG5539"/>
      <c r="GH5539"/>
    </row>
    <row r="5540" spans="187:190" s="1" customFormat="1" ht="18" customHeight="1" x14ac:dyDescent="0.2">
      <c r="GE5540"/>
      <c r="GF5540"/>
      <c r="GG5540"/>
      <c r="GH5540"/>
    </row>
    <row r="5541" spans="187:190" s="1" customFormat="1" ht="18" customHeight="1" x14ac:dyDescent="0.2">
      <c r="GE5541"/>
      <c r="GF5541"/>
      <c r="GG5541"/>
      <c r="GH5541"/>
    </row>
    <row r="5542" spans="187:190" s="1" customFormat="1" ht="18" customHeight="1" x14ac:dyDescent="0.2">
      <c r="GE5542"/>
      <c r="GF5542"/>
      <c r="GG5542"/>
      <c r="GH5542"/>
    </row>
    <row r="5543" spans="187:190" s="1" customFormat="1" ht="18" customHeight="1" x14ac:dyDescent="0.2">
      <c r="GE5543"/>
      <c r="GF5543"/>
      <c r="GG5543"/>
      <c r="GH5543"/>
    </row>
    <row r="5544" spans="187:190" s="1" customFormat="1" ht="18" customHeight="1" x14ac:dyDescent="0.2">
      <c r="GE5544"/>
      <c r="GF5544"/>
      <c r="GG5544"/>
      <c r="GH5544"/>
    </row>
    <row r="5545" spans="187:190" s="1" customFormat="1" ht="18" customHeight="1" x14ac:dyDescent="0.2">
      <c r="GE5545"/>
      <c r="GF5545"/>
      <c r="GG5545"/>
      <c r="GH5545"/>
    </row>
    <row r="5546" spans="187:190" s="1" customFormat="1" ht="18" customHeight="1" x14ac:dyDescent="0.2">
      <c r="GE5546"/>
      <c r="GF5546"/>
      <c r="GG5546"/>
      <c r="GH5546"/>
    </row>
    <row r="5547" spans="187:190" s="1" customFormat="1" ht="18" customHeight="1" x14ac:dyDescent="0.2">
      <c r="GE5547"/>
      <c r="GF5547"/>
      <c r="GG5547"/>
      <c r="GH5547"/>
    </row>
    <row r="5548" spans="187:190" s="1" customFormat="1" ht="18" customHeight="1" x14ac:dyDescent="0.2">
      <c r="GE5548"/>
      <c r="GF5548"/>
      <c r="GG5548"/>
      <c r="GH5548"/>
    </row>
    <row r="5549" spans="187:190" s="1" customFormat="1" ht="18" customHeight="1" x14ac:dyDescent="0.2">
      <c r="GE5549"/>
      <c r="GF5549"/>
      <c r="GG5549"/>
      <c r="GH5549"/>
    </row>
    <row r="5550" spans="187:190" s="1" customFormat="1" ht="18" customHeight="1" x14ac:dyDescent="0.2">
      <c r="GE5550"/>
      <c r="GF5550"/>
      <c r="GG5550"/>
      <c r="GH5550"/>
    </row>
    <row r="5551" spans="187:190" s="1" customFormat="1" ht="18" customHeight="1" x14ac:dyDescent="0.2">
      <c r="GE5551"/>
      <c r="GF5551"/>
      <c r="GG5551"/>
      <c r="GH5551"/>
    </row>
    <row r="5552" spans="187:190" s="1" customFormat="1" ht="18" customHeight="1" x14ac:dyDescent="0.2">
      <c r="GE5552"/>
      <c r="GF5552"/>
      <c r="GG5552"/>
      <c r="GH5552"/>
    </row>
    <row r="5553" spans="187:190" s="1" customFormat="1" ht="18" customHeight="1" x14ac:dyDescent="0.2">
      <c r="GE5553"/>
      <c r="GF5553"/>
      <c r="GG5553"/>
      <c r="GH5553"/>
    </row>
    <row r="5554" spans="187:190" s="1" customFormat="1" ht="18" customHeight="1" x14ac:dyDescent="0.2">
      <c r="GE5554"/>
      <c r="GF5554"/>
      <c r="GG5554"/>
      <c r="GH5554"/>
    </row>
    <row r="5555" spans="187:190" s="1" customFormat="1" ht="18" customHeight="1" x14ac:dyDescent="0.2">
      <c r="GE5555"/>
      <c r="GF5555"/>
      <c r="GG5555"/>
      <c r="GH5555"/>
    </row>
    <row r="5556" spans="187:190" s="1" customFormat="1" ht="18" customHeight="1" x14ac:dyDescent="0.2">
      <c r="GE5556"/>
      <c r="GF5556"/>
      <c r="GG5556"/>
      <c r="GH5556"/>
    </row>
    <row r="5557" spans="187:190" s="1" customFormat="1" ht="18" customHeight="1" x14ac:dyDescent="0.2">
      <c r="GE5557"/>
      <c r="GF5557"/>
      <c r="GG5557"/>
      <c r="GH5557"/>
    </row>
    <row r="5558" spans="187:190" s="1" customFormat="1" ht="18" customHeight="1" x14ac:dyDescent="0.2">
      <c r="GE5558"/>
      <c r="GF5558"/>
      <c r="GG5558"/>
      <c r="GH5558"/>
    </row>
    <row r="5559" spans="187:190" s="1" customFormat="1" ht="18" customHeight="1" x14ac:dyDescent="0.2">
      <c r="GE5559"/>
      <c r="GF5559"/>
      <c r="GG5559"/>
      <c r="GH5559"/>
    </row>
    <row r="5560" spans="187:190" s="1" customFormat="1" ht="18" customHeight="1" x14ac:dyDescent="0.2">
      <c r="GE5560"/>
      <c r="GF5560"/>
      <c r="GG5560"/>
      <c r="GH5560"/>
    </row>
    <row r="5561" spans="187:190" s="1" customFormat="1" ht="18" customHeight="1" x14ac:dyDescent="0.2">
      <c r="GE5561"/>
      <c r="GF5561"/>
      <c r="GG5561"/>
      <c r="GH5561"/>
    </row>
    <row r="5562" spans="187:190" s="1" customFormat="1" ht="18" customHeight="1" x14ac:dyDescent="0.2">
      <c r="GE5562"/>
      <c r="GF5562"/>
      <c r="GG5562"/>
      <c r="GH5562"/>
    </row>
    <row r="5563" spans="187:190" s="1" customFormat="1" ht="18" customHeight="1" x14ac:dyDescent="0.2">
      <c r="GE5563"/>
      <c r="GF5563"/>
      <c r="GG5563"/>
      <c r="GH5563"/>
    </row>
    <row r="5564" spans="187:190" s="1" customFormat="1" ht="18" customHeight="1" x14ac:dyDescent="0.2">
      <c r="GE5564"/>
      <c r="GF5564"/>
      <c r="GG5564"/>
      <c r="GH5564"/>
    </row>
    <row r="5565" spans="187:190" s="1" customFormat="1" ht="18" customHeight="1" x14ac:dyDescent="0.2">
      <c r="GE5565"/>
      <c r="GF5565"/>
      <c r="GG5565"/>
      <c r="GH5565"/>
    </row>
    <row r="5566" spans="187:190" s="1" customFormat="1" ht="18" customHeight="1" x14ac:dyDescent="0.2">
      <c r="GE5566"/>
      <c r="GF5566"/>
      <c r="GG5566"/>
      <c r="GH5566"/>
    </row>
    <row r="5567" spans="187:190" s="1" customFormat="1" ht="18" customHeight="1" x14ac:dyDescent="0.2">
      <c r="GE5567"/>
      <c r="GF5567"/>
      <c r="GG5567"/>
      <c r="GH5567"/>
    </row>
    <row r="5568" spans="187:190" s="1" customFormat="1" ht="18" customHeight="1" x14ac:dyDescent="0.2">
      <c r="GE5568"/>
      <c r="GF5568"/>
      <c r="GG5568"/>
      <c r="GH5568"/>
    </row>
    <row r="5569" spans="187:190" s="1" customFormat="1" ht="18" customHeight="1" x14ac:dyDescent="0.2">
      <c r="GE5569"/>
      <c r="GF5569"/>
      <c r="GG5569"/>
      <c r="GH5569"/>
    </row>
    <row r="5570" spans="187:190" s="1" customFormat="1" ht="18" customHeight="1" x14ac:dyDescent="0.2">
      <c r="GE5570"/>
      <c r="GF5570"/>
      <c r="GG5570"/>
      <c r="GH5570"/>
    </row>
    <row r="5571" spans="187:190" s="1" customFormat="1" ht="18" customHeight="1" x14ac:dyDescent="0.2">
      <c r="GE5571"/>
      <c r="GF5571"/>
      <c r="GG5571"/>
      <c r="GH5571"/>
    </row>
    <row r="5572" spans="187:190" s="1" customFormat="1" ht="18" customHeight="1" x14ac:dyDescent="0.2">
      <c r="GE5572"/>
      <c r="GF5572"/>
      <c r="GG5572"/>
      <c r="GH5572"/>
    </row>
    <row r="5573" spans="187:190" s="1" customFormat="1" ht="18" customHeight="1" x14ac:dyDescent="0.2">
      <c r="GE5573"/>
      <c r="GF5573"/>
      <c r="GG5573"/>
      <c r="GH5573"/>
    </row>
    <row r="5574" spans="187:190" s="1" customFormat="1" ht="18" customHeight="1" x14ac:dyDescent="0.2">
      <c r="GE5574"/>
      <c r="GF5574"/>
      <c r="GG5574"/>
      <c r="GH5574"/>
    </row>
    <row r="5575" spans="187:190" s="1" customFormat="1" ht="18" customHeight="1" x14ac:dyDescent="0.2">
      <c r="GE5575"/>
      <c r="GF5575"/>
      <c r="GG5575"/>
      <c r="GH5575"/>
    </row>
    <row r="5576" spans="187:190" s="1" customFormat="1" ht="18" customHeight="1" x14ac:dyDescent="0.2">
      <c r="GE5576"/>
      <c r="GF5576"/>
      <c r="GG5576"/>
      <c r="GH5576"/>
    </row>
    <row r="5577" spans="187:190" s="1" customFormat="1" ht="18" customHeight="1" x14ac:dyDescent="0.2">
      <c r="GE5577"/>
      <c r="GF5577"/>
      <c r="GG5577"/>
      <c r="GH5577"/>
    </row>
    <row r="5578" spans="187:190" s="1" customFormat="1" ht="18" customHeight="1" x14ac:dyDescent="0.2">
      <c r="GE5578"/>
      <c r="GF5578"/>
      <c r="GG5578"/>
      <c r="GH5578"/>
    </row>
    <row r="5579" spans="187:190" s="1" customFormat="1" ht="18" customHeight="1" x14ac:dyDescent="0.2">
      <c r="GE5579"/>
      <c r="GF5579"/>
      <c r="GG5579"/>
      <c r="GH5579"/>
    </row>
  </sheetData>
  <mergeCells count="1">
    <mergeCell ref="A2:KS2"/>
  </mergeCells>
  <pageMargins left="0.2" right="0.2" top="0" bottom="0" header="0" footer="0"/>
  <pageSetup paperSize="9" scale="54" orientation="landscape" r:id="rId1"/>
  <headerFooter scaleWithDoc="0">
    <oddHeader>&amp;L&amp;8National Bank of Cambodia,
Statistics Department</oddHeader>
    <oddFooter>&amp;L&amp;6Monetary and Financial Statistics Division  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Curr. # US$</vt:lpstr>
      <vt:lpstr>'Curr. # US$'!Print_Area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BANK</dc:creator>
  <cp:lastModifiedBy>Chungleang Tang</cp:lastModifiedBy>
  <cp:lastPrinted>2025-02-17T07:29:47Z</cp:lastPrinted>
  <dcterms:created xsi:type="dcterms:W3CDTF">2002-07-11T05:38:21Z</dcterms:created>
  <dcterms:modified xsi:type="dcterms:W3CDTF">2026-02-04T03:49:25Z</dcterms:modified>
</cp:coreProperties>
</file>